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l_kko31362\Documents\"/>
    </mc:Choice>
  </mc:AlternateContent>
  <xr:revisionPtr revIDLastSave="0" documentId="13_ncr:1_{6E7FD8CA-EDC1-4958-8F3E-E094806D9465}" xr6:coauthVersionLast="44" xr6:coauthVersionMax="45" xr10:uidLastSave="{00000000-0000-0000-0000-000000000000}"/>
  <workbookProtection workbookAlgorithmName="SHA-512" workbookHashValue="8CfMs/R4PQH7mc82JEIE61XHM1G/7cuhKQJAoqgQu3E+eJ7MsZf3OaH7vs3UzG52i43ySIwxhove8giEtpxFxg==" workbookSaltValue="5ykyTAfCJJLgEQRqzeXcfg==" workbookSpinCount="100000" lockStructure="1"/>
  <bookViews>
    <workbookView xWindow="-108" yWindow="-108" windowWidth="23256" windowHeight="12576" xr2:uid="{00000000-000D-0000-FFFF-FFFF00000000}"/>
  </bookViews>
  <sheets>
    <sheet name="Advisor" sheetId="1" r:id="rId1"/>
    <sheet name="Unit Manager" sheetId="5" r:id="rId2"/>
    <sheet name="Advisor-Leader" sheetId="8" r:id="rId3"/>
    <sheet name="Personal Earnings CALC" sheetId="7" state="hidden" r:id="rId4"/>
    <sheet name="REF" sheetId="2" state="hidden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I68" i="8" l="1"/>
  <c r="AI65" i="8"/>
  <c r="AI62" i="8"/>
  <c r="AI59" i="8"/>
  <c r="AI56" i="8"/>
  <c r="AI53" i="8"/>
  <c r="AI50" i="8"/>
  <c r="AI47" i="8"/>
  <c r="AI44" i="8"/>
  <c r="AI41" i="8"/>
  <c r="AI38" i="8"/>
  <c r="AI35" i="8"/>
  <c r="CT68" i="8"/>
  <c r="CT65" i="8"/>
  <c r="CT62" i="8"/>
  <c r="CT59" i="8"/>
  <c r="CT56" i="8"/>
  <c r="CT53" i="8"/>
  <c r="CT50" i="8"/>
  <c r="CT47" i="8"/>
  <c r="CT44" i="8"/>
  <c r="CT41" i="8"/>
  <c r="CT38" i="8"/>
  <c r="CT35" i="8"/>
  <c r="CT32" i="8"/>
  <c r="CT29" i="8"/>
  <c r="CT26" i="8"/>
  <c r="CT23" i="8"/>
  <c r="CT20" i="8"/>
  <c r="CT17" i="8"/>
  <c r="CT14" i="8"/>
  <c r="CT11" i="8"/>
  <c r="CS68" i="8"/>
  <c r="CS65" i="8"/>
  <c r="CS62" i="8"/>
  <c r="CS59" i="8"/>
  <c r="CS56" i="8"/>
  <c r="CS53" i="8"/>
  <c r="CS50" i="8"/>
  <c r="CS47" i="8"/>
  <c r="CS44" i="8"/>
  <c r="CS41" i="8"/>
  <c r="CS38" i="8"/>
  <c r="CS35" i="8"/>
  <c r="CS32" i="8"/>
  <c r="CS29" i="8"/>
  <c r="CS26" i="8"/>
  <c r="CS23" i="8"/>
  <c r="CS20" i="8"/>
  <c r="CS17" i="8"/>
  <c r="CS14" i="8"/>
  <c r="CS11" i="8"/>
  <c r="CR67" i="8"/>
  <c r="CR68" i="8" s="1"/>
  <c r="CR66" i="8"/>
  <c r="CR63" i="8"/>
  <c r="CR64" i="8" s="1"/>
  <c r="CR65" i="8" s="1"/>
  <c r="CR61" i="8"/>
  <c r="CR62" i="8" s="1"/>
  <c r="CR60" i="8"/>
  <c r="CR57" i="8"/>
  <c r="CR58" i="8" s="1"/>
  <c r="CR59" i="8" s="1"/>
  <c r="CR54" i="8"/>
  <c r="CR55" i="8" s="1"/>
  <c r="CR56" i="8" s="1"/>
  <c r="CR51" i="8"/>
  <c r="CR52" i="8" s="1"/>
  <c r="CR53" i="8" s="1"/>
  <c r="CR48" i="8"/>
  <c r="CR49" i="8" s="1"/>
  <c r="CR50" i="8" s="1"/>
  <c r="CR46" i="8"/>
  <c r="CR47" i="8" s="1"/>
  <c r="CR45" i="8"/>
  <c r="CR42" i="8"/>
  <c r="CR43" i="8" s="1"/>
  <c r="CR44" i="8" s="1"/>
  <c r="CR39" i="8"/>
  <c r="CR40" i="8" s="1"/>
  <c r="CR41" i="8" s="1"/>
  <c r="CR36" i="8"/>
  <c r="CR37" i="8" s="1"/>
  <c r="CR38" i="8" s="1"/>
  <c r="CR33" i="8"/>
  <c r="CR34" i="8" s="1"/>
  <c r="CR35" i="8" s="1"/>
  <c r="CR30" i="8"/>
  <c r="CR31" i="8" s="1"/>
  <c r="CR32" i="8" s="1"/>
  <c r="CR27" i="8"/>
  <c r="CR28" i="8" s="1"/>
  <c r="CR29" i="8" s="1"/>
  <c r="CR24" i="8"/>
  <c r="CR25" i="8" s="1"/>
  <c r="CR26" i="8" s="1"/>
  <c r="CR21" i="8"/>
  <c r="CR22" i="8" s="1"/>
  <c r="CR23" i="8" s="1"/>
  <c r="CR18" i="8"/>
  <c r="CR19" i="8" s="1"/>
  <c r="CR20" i="8" s="1"/>
  <c r="CR16" i="8"/>
  <c r="CR17" i="8" s="1"/>
  <c r="CR15" i="8"/>
  <c r="CR14" i="8"/>
  <c r="CR13" i="8"/>
  <c r="CR12" i="8"/>
  <c r="CR11" i="8"/>
  <c r="CR10" i="8"/>
  <c r="CR9" i="8"/>
  <c r="CE11" i="1"/>
  <c r="CE10" i="1"/>
  <c r="CE9" i="1"/>
  <c r="AC44" i="5"/>
  <c r="AC41" i="5"/>
  <c r="AC38" i="5"/>
  <c r="AC35" i="5"/>
  <c r="AC32" i="5"/>
  <c r="AC29" i="5"/>
  <c r="AC26" i="5"/>
  <c r="AC23" i="5"/>
  <c r="AC20" i="5"/>
  <c r="AC17" i="5"/>
  <c r="AC14" i="5"/>
  <c r="AC11" i="5"/>
  <c r="W9" i="5"/>
  <c r="CH21" i="1" l="1"/>
  <c r="CH22" i="1"/>
  <c r="CH23" i="1"/>
  <c r="CH24" i="1"/>
  <c r="CH25" i="1"/>
  <c r="CH26" i="1"/>
  <c r="CH27" i="1"/>
  <c r="CH28" i="1"/>
  <c r="CH29" i="1"/>
  <c r="CH30" i="1"/>
  <c r="CH31" i="1"/>
  <c r="CH32" i="1"/>
  <c r="CH33" i="1"/>
  <c r="CH34" i="1"/>
  <c r="CH35" i="1"/>
  <c r="CH36" i="1"/>
  <c r="CH37" i="1"/>
  <c r="CH38" i="1"/>
  <c r="CH39" i="1"/>
  <c r="CH40" i="1"/>
  <c r="CH41" i="1"/>
  <c r="CH42" i="1"/>
  <c r="CH43" i="1"/>
  <c r="CH44" i="1"/>
  <c r="CF44" i="1"/>
  <c r="CG44" i="1" s="1"/>
  <c r="CF41" i="1"/>
  <c r="CG41" i="1" s="1"/>
  <c r="CF38" i="1"/>
  <c r="CG38" i="1" s="1"/>
  <c r="CF35" i="1"/>
  <c r="CG35" i="1" s="1"/>
  <c r="CF32" i="1"/>
  <c r="CG32" i="1" s="1"/>
  <c r="CF29" i="1"/>
  <c r="CG29" i="1" s="1"/>
  <c r="CF26" i="1"/>
  <c r="CG26" i="1" s="1"/>
  <c r="CF23" i="1"/>
  <c r="CG23" i="1" s="1"/>
  <c r="AG20" i="8" l="1"/>
  <c r="AG19" i="8"/>
  <c r="AG18" i="8"/>
  <c r="AG17" i="8"/>
  <c r="AG16" i="8"/>
  <c r="AG15" i="8"/>
  <c r="AG14" i="8"/>
  <c r="AG13" i="8"/>
  <c r="AG12" i="8"/>
  <c r="AG11" i="8"/>
  <c r="AG10" i="8"/>
  <c r="AG9" i="8"/>
  <c r="AA68" i="8"/>
  <c r="AA65" i="8"/>
  <c r="AA62" i="8"/>
  <c r="AA59" i="8"/>
  <c r="AA56" i="8"/>
  <c r="AA53" i="8"/>
  <c r="AA50" i="8"/>
  <c r="AA47" i="8"/>
  <c r="AA44" i="8"/>
  <c r="AA41" i="8"/>
  <c r="AA38" i="8"/>
  <c r="AA35" i="8"/>
  <c r="AA32" i="8"/>
  <c r="AA29" i="8"/>
  <c r="AA26" i="8"/>
  <c r="AA23" i="8"/>
  <c r="AA20" i="8"/>
  <c r="AA17" i="8"/>
  <c r="AA14" i="8"/>
  <c r="AA11" i="8"/>
  <c r="Z10" i="8"/>
  <c r="AB10" i="8" s="1"/>
  <c r="Z9" i="8"/>
  <c r="AB9" i="8" s="1"/>
  <c r="W67" i="8"/>
  <c r="W66" i="8"/>
  <c r="W64" i="8"/>
  <c r="W63" i="8"/>
  <c r="W61" i="8"/>
  <c r="W60" i="8"/>
  <c r="W58" i="8"/>
  <c r="W57" i="8"/>
  <c r="W55" i="8"/>
  <c r="W54" i="8"/>
  <c r="W52" i="8"/>
  <c r="W51" i="8"/>
  <c r="W49" i="8"/>
  <c r="W48" i="8"/>
  <c r="W46" i="8"/>
  <c r="W45" i="8"/>
  <c r="DG26" i="8"/>
  <c r="DG25" i="8"/>
  <c r="DG24" i="8"/>
  <c r="DG23" i="8"/>
  <c r="DG22" i="8"/>
  <c r="DG21" i="8"/>
  <c r="DG20" i="8"/>
  <c r="DG19" i="8"/>
  <c r="DG18" i="8"/>
  <c r="DG17" i="8"/>
  <c r="DG16" i="8"/>
  <c r="DG15" i="8"/>
  <c r="DG14" i="8"/>
  <c r="DG13" i="8"/>
  <c r="DG12" i="8"/>
  <c r="DG11" i="8"/>
  <c r="DG10" i="8"/>
  <c r="DG68" i="8"/>
  <c r="DG67" i="8"/>
  <c r="DG66" i="8"/>
  <c r="DG65" i="8"/>
  <c r="DG64" i="8"/>
  <c r="DG63" i="8"/>
  <c r="DG62" i="8"/>
  <c r="DG61" i="8"/>
  <c r="DG60" i="8"/>
  <c r="DG59" i="8"/>
  <c r="DG58" i="8"/>
  <c r="DG57" i="8"/>
  <c r="DG56" i="8"/>
  <c r="DG55" i="8"/>
  <c r="DG54" i="8"/>
  <c r="DG53" i="8"/>
  <c r="DG52" i="8"/>
  <c r="DG51" i="8"/>
  <c r="DG50" i="8"/>
  <c r="DG49" i="8"/>
  <c r="DC67" i="8"/>
  <c r="DC66" i="8"/>
  <c r="DC64" i="8"/>
  <c r="DC63" i="8"/>
  <c r="DC61" i="8"/>
  <c r="DC60" i="8"/>
  <c r="DC58" i="8"/>
  <c r="DC57" i="8"/>
  <c r="DC55" i="8"/>
  <c r="DC54" i="8"/>
  <c r="DC52" i="8"/>
  <c r="DC51" i="8"/>
  <c r="DC49" i="8"/>
  <c r="DC48" i="8"/>
  <c r="DC46" i="8"/>
  <c r="DC45" i="8"/>
  <c r="AC9" i="8" l="1"/>
  <c r="AD9" i="8" s="1"/>
  <c r="AF21" i="8" s="1"/>
  <c r="AC10" i="8"/>
  <c r="AD10" i="8" s="1"/>
  <c r="AF22" i="8" s="1"/>
  <c r="AA69" i="8"/>
  <c r="DB11" i="8"/>
  <c r="DG48" i="8"/>
  <c r="DG47" i="8"/>
  <c r="DG46" i="8"/>
  <c r="DG45" i="8"/>
  <c r="CN68" i="8"/>
  <c r="CN65" i="8"/>
  <c r="P65" i="8" s="1"/>
  <c r="CN62" i="8"/>
  <c r="CN59" i="8"/>
  <c r="CN56" i="8"/>
  <c r="P56" i="8" s="1"/>
  <c r="CN53" i="8"/>
  <c r="P53" i="8" s="1"/>
  <c r="CN50" i="8"/>
  <c r="CN47" i="8"/>
  <c r="CM67" i="8"/>
  <c r="CN67" i="8" s="1"/>
  <c r="CM66" i="8"/>
  <c r="CN66" i="8" s="1"/>
  <c r="P66" i="8" s="1"/>
  <c r="CM64" i="8"/>
  <c r="CN64" i="8" s="1"/>
  <c r="P64" i="8" s="1"/>
  <c r="CM63" i="8"/>
  <c r="CN63" i="8" s="1"/>
  <c r="P63" i="8" s="1"/>
  <c r="CM61" i="8"/>
  <c r="CN61" i="8" s="1"/>
  <c r="P61" i="8" s="1"/>
  <c r="CM60" i="8"/>
  <c r="CN60" i="8" s="1"/>
  <c r="P60" i="8" s="1"/>
  <c r="CM58" i="8"/>
  <c r="CN58" i="8" s="1"/>
  <c r="P58" i="8" s="1"/>
  <c r="CM57" i="8"/>
  <c r="CN57" i="8" s="1"/>
  <c r="P57" i="8" s="1"/>
  <c r="CM49" i="8"/>
  <c r="CN49" i="8" s="1"/>
  <c r="CM48" i="8"/>
  <c r="CN48" i="8" s="1"/>
  <c r="P48" i="8" s="1"/>
  <c r="CM46" i="8"/>
  <c r="CN46" i="8" s="1"/>
  <c r="P46" i="8" s="1"/>
  <c r="CM45" i="8"/>
  <c r="CN45" i="8" s="1"/>
  <c r="CM55" i="8"/>
  <c r="CN55" i="8" s="1"/>
  <c r="P55" i="8" s="1"/>
  <c r="CM54" i="8"/>
  <c r="CN54" i="8" s="1"/>
  <c r="P54" i="8" s="1"/>
  <c r="CM52" i="8"/>
  <c r="CN52" i="8" s="1"/>
  <c r="P52" i="8" s="1"/>
  <c r="CM51" i="8"/>
  <c r="CN51" i="8" s="1"/>
  <c r="P51" i="8" s="1"/>
  <c r="CL10" i="8"/>
  <c r="CL11" i="8" s="1"/>
  <c r="CL12" i="8" s="1"/>
  <c r="CL13" i="8" s="1"/>
  <c r="CL14" i="8" s="1"/>
  <c r="CL15" i="8" s="1"/>
  <c r="CL16" i="8" s="1"/>
  <c r="CL17" i="8" s="1"/>
  <c r="CL18" i="8" s="1"/>
  <c r="CL19" i="8" s="1"/>
  <c r="CL20" i="8" s="1"/>
  <c r="CL21" i="8" s="1"/>
  <c r="CL22" i="8" s="1"/>
  <c r="CL23" i="8" s="1"/>
  <c r="CL24" i="8" s="1"/>
  <c r="CL25" i="8" s="1"/>
  <c r="CL26" i="8" s="1"/>
  <c r="CL27" i="8" s="1"/>
  <c r="CL28" i="8" s="1"/>
  <c r="CL29" i="8" s="1"/>
  <c r="CL30" i="8" s="1"/>
  <c r="CL31" i="8" s="1"/>
  <c r="CL32" i="8" s="1"/>
  <c r="CL33" i="8" s="1"/>
  <c r="CL34" i="8" s="1"/>
  <c r="CL35" i="8" s="1"/>
  <c r="CL36" i="8" s="1"/>
  <c r="CL37" i="8" s="1"/>
  <c r="CL38" i="8" s="1"/>
  <c r="CL39" i="8" s="1"/>
  <c r="CL40" i="8" s="1"/>
  <c r="CL41" i="8" s="1"/>
  <c r="CL42" i="8" s="1"/>
  <c r="CL43" i="8" s="1"/>
  <c r="CL44" i="8" s="1"/>
  <c r="CL45" i="8" s="1"/>
  <c r="CL46" i="8" s="1"/>
  <c r="CL47" i="8" s="1"/>
  <c r="CL48" i="8" s="1"/>
  <c r="CL49" i="8" s="1"/>
  <c r="CL50" i="8" s="1"/>
  <c r="CL51" i="8" s="1"/>
  <c r="CL52" i="8" s="1"/>
  <c r="CL53" i="8" s="1"/>
  <c r="CL54" i="8" s="1"/>
  <c r="CL55" i="8" s="1"/>
  <c r="CL56" i="8" s="1"/>
  <c r="CL57" i="8" s="1"/>
  <c r="CL58" i="8" s="1"/>
  <c r="CL59" i="8" s="1"/>
  <c r="CL60" i="8" s="1"/>
  <c r="CL61" i="8" s="1"/>
  <c r="CL62" i="8" s="1"/>
  <c r="CL63" i="8" s="1"/>
  <c r="CL64" i="8" s="1"/>
  <c r="CL65" i="8" s="1"/>
  <c r="CL66" i="8" s="1"/>
  <c r="CL67" i="8" s="1"/>
  <c r="CL68" i="8" s="1"/>
  <c r="DG44" i="8"/>
  <c r="CN44" i="8"/>
  <c r="CO44" i="8" s="1"/>
  <c r="Q44" i="8" s="1"/>
  <c r="DG43" i="8"/>
  <c r="DC43" i="8"/>
  <c r="CM43" i="8"/>
  <c r="CN43" i="8" s="1"/>
  <c r="W43" i="8"/>
  <c r="DG42" i="8"/>
  <c r="DC42" i="8"/>
  <c r="CM42" i="8"/>
  <c r="CN42" i="8" s="1"/>
  <c r="W42" i="8"/>
  <c r="DG41" i="8"/>
  <c r="CN41" i="8"/>
  <c r="CO41" i="8" s="1"/>
  <c r="Q41" i="8" s="1"/>
  <c r="DG40" i="8"/>
  <c r="DC40" i="8"/>
  <c r="CM40" i="8"/>
  <c r="CN40" i="8" s="1"/>
  <c r="W40" i="8"/>
  <c r="DG39" i="8"/>
  <c r="DC39" i="8"/>
  <c r="CM39" i="8"/>
  <c r="CN39" i="8" s="1"/>
  <c r="W39" i="8"/>
  <c r="DG38" i="8"/>
  <c r="CN38" i="8"/>
  <c r="DG37" i="8"/>
  <c r="DC37" i="8"/>
  <c r="CM37" i="8"/>
  <c r="CN37" i="8" s="1"/>
  <c r="W37" i="8"/>
  <c r="DG36" i="8"/>
  <c r="DC36" i="8"/>
  <c r="CM36" i="8"/>
  <c r="CN36" i="8" s="1"/>
  <c r="W36" i="8"/>
  <c r="DG35" i="8"/>
  <c r="CN35" i="8"/>
  <c r="CO35" i="8" s="1"/>
  <c r="DG34" i="8"/>
  <c r="DC34" i="8"/>
  <c r="CM34" i="8"/>
  <c r="CN34" i="8" s="1"/>
  <c r="W34" i="8"/>
  <c r="DG33" i="8"/>
  <c r="DC33" i="8"/>
  <c r="CM33" i="8"/>
  <c r="CN33" i="8" s="1"/>
  <c r="W33" i="8"/>
  <c r="DG32" i="8"/>
  <c r="CN32" i="8"/>
  <c r="P32" i="8" s="1"/>
  <c r="DG31" i="8"/>
  <c r="DC31" i="8"/>
  <c r="CM31" i="8"/>
  <c r="CN31" i="8" s="1"/>
  <c r="W31" i="8"/>
  <c r="DG30" i="8"/>
  <c r="DC30" i="8"/>
  <c r="CM30" i="8"/>
  <c r="CN30" i="8" s="1"/>
  <c r="W30" i="8"/>
  <c r="DG29" i="8"/>
  <c r="CN29" i="8"/>
  <c r="DG28" i="8"/>
  <c r="DC28" i="8"/>
  <c r="CM28" i="8"/>
  <c r="CN28" i="8" s="1"/>
  <c r="W28" i="8"/>
  <c r="DG27" i="8"/>
  <c r="DC27" i="8"/>
  <c r="CM27" i="8"/>
  <c r="CN27" i="8" s="1"/>
  <c r="W27" i="8"/>
  <c r="CN26" i="8"/>
  <c r="P26" i="8" s="1"/>
  <c r="DC25" i="8"/>
  <c r="CM25" i="8"/>
  <c r="CN25" i="8" s="1"/>
  <c r="W25" i="8"/>
  <c r="DC24" i="8"/>
  <c r="CM24" i="8"/>
  <c r="CN24" i="8" s="1"/>
  <c r="W24" i="8"/>
  <c r="CN23" i="8"/>
  <c r="DC22" i="8"/>
  <c r="CM22" i="8"/>
  <c r="CN22" i="8" s="1"/>
  <c r="P22" i="8" s="1"/>
  <c r="W22" i="8"/>
  <c r="DC21" i="8"/>
  <c r="CM21" i="8"/>
  <c r="CN21" i="8" s="1"/>
  <c r="W21" i="8"/>
  <c r="CN20" i="8"/>
  <c r="P20" i="8" s="1"/>
  <c r="W20" i="8"/>
  <c r="V20" i="8"/>
  <c r="DC19" i="8"/>
  <c r="CM19" i="8"/>
  <c r="CN19" i="8" s="1"/>
  <c r="W19" i="8"/>
  <c r="V19" i="8"/>
  <c r="DC18" i="8"/>
  <c r="CM18" i="8"/>
  <c r="CN18" i="8" s="1"/>
  <c r="P18" i="8" s="1"/>
  <c r="W18" i="8"/>
  <c r="V18" i="8"/>
  <c r="CN17" i="8"/>
  <c r="CO17" i="8" s="1"/>
  <c r="W17" i="8"/>
  <c r="V17" i="8"/>
  <c r="DC16" i="8"/>
  <c r="CM16" i="8"/>
  <c r="CN16" i="8" s="1"/>
  <c r="W16" i="8"/>
  <c r="V16" i="8"/>
  <c r="DC15" i="8"/>
  <c r="CM15" i="8"/>
  <c r="CN15" i="8" s="1"/>
  <c r="W15" i="8"/>
  <c r="V15" i="8"/>
  <c r="CN14" i="8"/>
  <c r="W14" i="8"/>
  <c r="V14" i="8"/>
  <c r="DC13" i="8"/>
  <c r="CM13" i="8"/>
  <c r="CN13" i="8" s="1"/>
  <c r="W13" i="8"/>
  <c r="V13" i="8"/>
  <c r="DC12" i="8"/>
  <c r="CM12" i="8"/>
  <c r="CN12" i="8" s="1"/>
  <c r="W12" i="8"/>
  <c r="V12" i="8"/>
  <c r="CN11" i="8"/>
  <c r="CO11" i="8" s="1"/>
  <c r="CY23" i="8" s="1"/>
  <c r="W11" i="8"/>
  <c r="V11" i="8"/>
  <c r="DC10" i="8"/>
  <c r="DD10" i="8" s="1"/>
  <c r="DE10" i="8" s="1"/>
  <c r="DF10" i="8" s="1"/>
  <c r="CM10" i="8"/>
  <c r="CN10" i="8" s="1"/>
  <c r="P10" i="8" s="1"/>
  <c r="W10" i="8"/>
  <c r="V10" i="8"/>
  <c r="DG9" i="8"/>
  <c r="DC9" i="8"/>
  <c r="DD9" i="8" s="1"/>
  <c r="DE9" i="8" s="1"/>
  <c r="DF9" i="8" s="1"/>
  <c r="CM9" i="8"/>
  <c r="CN9" i="8" s="1"/>
  <c r="W9" i="8"/>
  <c r="V9" i="8"/>
  <c r="AE9" i="8" l="1"/>
  <c r="AE10" i="8"/>
  <c r="CO49" i="8"/>
  <c r="Q49" i="8" s="1"/>
  <c r="P49" i="8"/>
  <c r="CO45" i="8"/>
  <c r="Q45" i="8" s="1"/>
  <c r="P45" i="8"/>
  <c r="CO47" i="8"/>
  <c r="Q47" i="8" s="1"/>
  <c r="P47" i="8"/>
  <c r="CO59" i="8"/>
  <c r="P59" i="8"/>
  <c r="DB12" i="8"/>
  <c r="DD12" i="8" s="1"/>
  <c r="DE12" i="8" s="1"/>
  <c r="Z11" i="8"/>
  <c r="AB11" i="8" s="1"/>
  <c r="CO68" i="8"/>
  <c r="P68" i="8"/>
  <c r="CO50" i="8"/>
  <c r="Q50" i="8" s="1"/>
  <c r="P50" i="8"/>
  <c r="CO62" i="8"/>
  <c r="P62" i="8"/>
  <c r="CO67" i="8"/>
  <c r="P67" i="8"/>
  <c r="CQ55" i="8"/>
  <c r="CU55" i="8" s="1"/>
  <c r="CQ59" i="8"/>
  <c r="CU59" i="8" s="1"/>
  <c r="CQ45" i="8"/>
  <c r="CU45" i="8" s="1"/>
  <c r="CP45" i="8"/>
  <c r="R45" i="8" s="1"/>
  <c r="CO52" i="8"/>
  <c r="Q52" i="8" s="1"/>
  <c r="CQ54" i="8"/>
  <c r="CU54" i="8" s="1"/>
  <c r="CQ48" i="8"/>
  <c r="CU48" i="8" s="1"/>
  <c r="CO46" i="8"/>
  <c r="CO58" i="8"/>
  <c r="CQ60" i="8"/>
  <c r="CU60" i="8" s="1"/>
  <c r="CQ66" i="8"/>
  <c r="CU66" i="8" s="1"/>
  <c r="CO64" i="8"/>
  <c r="CQ58" i="8"/>
  <c r="CU58" i="8" s="1"/>
  <c r="CQ63" i="8"/>
  <c r="CU63" i="8" s="1"/>
  <c r="CO54" i="8"/>
  <c r="Q54" i="8" s="1"/>
  <c r="CQ56" i="8"/>
  <c r="CU56" i="8" s="1"/>
  <c r="CO48" i="8"/>
  <c r="Q48" i="8" s="1"/>
  <c r="CQ50" i="8"/>
  <c r="CU50" i="8" s="1"/>
  <c r="CO60" i="8"/>
  <c r="CQ61" i="8"/>
  <c r="CU61" i="8" s="1"/>
  <c r="CQ62" i="8"/>
  <c r="CU62" i="8" s="1"/>
  <c r="CQ68" i="8"/>
  <c r="CU68" i="8" s="1"/>
  <c r="CO66" i="8"/>
  <c r="CO51" i="8"/>
  <c r="Q51" i="8" s="1"/>
  <c r="CQ52" i="8"/>
  <c r="CU52" i="8" s="1"/>
  <c r="CQ53" i="8"/>
  <c r="CU53" i="8" s="1"/>
  <c r="CQ65" i="8"/>
  <c r="CU65" i="8" s="1"/>
  <c r="CO63" i="8"/>
  <c r="CQ67" i="8"/>
  <c r="CU67" i="8" s="1"/>
  <c r="CQ57" i="8"/>
  <c r="CU57" i="8" s="1"/>
  <c r="CO55" i="8"/>
  <c r="Q55" i="8" s="1"/>
  <c r="CP50" i="8"/>
  <c r="R50" i="8" s="1"/>
  <c r="CQ46" i="8"/>
  <c r="CU46" i="8" s="1"/>
  <c r="CQ47" i="8"/>
  <c r="CU47" i="8" s="1"/>
  <c r="CQ49" i="8"/>
  <c r="CU49" i="8" s="1"/>
  <c r="CO56" i="8"/>
  <c r="Q56" i="8" s="1"/>
  <c r="CO57" i="8"/>
  <c r="CO65" i="8"/>
  <c r="CQ64" i="8"/>
  <c r="CU64" i="8" s="1"/>
  <c r="CY29" i="8"/>
  <c r="V29" i="8" s="1"/>
  <c r="CQ51" i="8"/>
  <c r="CU51" i="8" s="1"/>
  <c r="CO53" i="8"/>
  <c r="Q53" i="8" s="1"/>
  <c r="CO61" i="8"/>
  <c r="CQ36" i="8"/>
  <c r="CU36" i="8" s="1"/>
  <c r="CO34" i="8"/>
  <c r="DH10" i="8"/>
  <c r="X10" i="8" s="1"/>
  <c r="CO22" i="8"/>
  <c r="CQ22" i="8"/>
  <c r="CU22" i="8" s="1"/>
  <c r="CQ16" i="8"/>
  <c r="P41" i="8"/>
  <c r="P44" i="8"/>
  <c r="CO30" i="8"/>
  <c r="P30" i="8"/>
  <c r="P34" i="8"/>
  <c r="CP41" i="8"/>
  <c r="R41" i="8" s="1"/>
  <c r="DD11" i="8"/>
  <c r="DE11" i="8" s="1"/>
  <c r="P17" i="8"/>
  <c r="CO20" i="8"/>
  <c r="CO13" i="8"/>
  <c r="CY25" i="8" s="1"/>
  <c r="CQ15" i="8"/>
  <c r="P13" i="8"/>
  <c r="P9" i="8"/>
  <c r="CO9" i="8"/>
  <c r="CY21" i="8" s="1"/>
  <c r="CQ11" i="8"/>
  <c r="DH9" i="8"/>
  <c r="X9" i="8" s="1"/>
  <c r="CQ14" i="8"/>
  <c r="P12" i="8"/>
  <c r="CQ13" i="8"/>
  <c r="CO12" i="8"/>
  <c r="CY24" i="8" s="1"/>
  <c r="CO15" i="8"/>
  <c r="CY27" i="8" s="1"/>
  <c r="P15" i="8"/>
  <c r="CQ17" i="8"/>
  <c r="CQ10" i="8"/>
  <c r="CQ18" i="8"/>
  <c r="CO16" i="8"/>
  <c r="CY28" i="8" s="1"/>
  <c r="P16" i="8"/>
  <c r="CQ9" i="8"/>
  <c r="V23" i="8"/>
  <c r="Q11" i="8"/>
  <c r="CP11" i="8"/>
  <c r="CO19" i="8"/>
  <c r="CY31" i="8" s="1"/>
  <c r="P19" i="8"/>
  <c r="CQ19" i="8"/>
  <c r="CQ21" i="8"/>
  <c r="CU21" i="8" s="1"/>
  <c r="CQ12" i="8"/>
  <c r="CQ27" i="8"/>
  <c r="CU27" i="8" s="1"/>
  <c r="CO25" i="8"/>
  <c r="CY37" i="8" s="1"/>
  <c r="P25" i="8"/>
  <c r="P14" i="8"/>
  <c r="CO14" i="8"/>
  <c r="CY26" i="8" s="1"/>
  <c r="CQ26" i="8"/>
  <c r="CU26" i="8" s="1"/>
  <c r="CO24" i="8"/>
  <c r="P24" i="8"/>
  <c r="CO29" i="8"/>
  <c r="CY41" i="8" s="1"/>
  <c r="CQ31" i="8"/>
  <c r="CU31" i="8" s="1"/>
  <c r="P29" i="8"/>
  <c r="Q17" i="8"/>
  <c r="P27" i="8"/>
  <c r="CQ29" i="8"/>
  <c r="CU29" i="8" s="1"/>
  <c r="CO27" i="8"/>
  <c r="CQ30" i="8"/>
  <c r="CU30" i="8" s="1"/>
  <c r="P28" i="8"/>
  <c r="CQ23" i="8"/>
  <c r="CU23" i="8" s="1"/>
  <c r="CO21" i="8"/>
  <c r="P21" i="8"/>
  <c r="CO10" i="8"/>
  <c r="CY22" i="8" s="1"/>
  <c r="CP17" i="8"/>
  <c r="CO43" i="8"/>
  <c r="P43" i="8"/>
  <c r="P11" i="8"/>
  <c r="CO18" i="8"/>
  <c r="CY30" i="8" s="1"/>
  <c r="CQ20" i="8"/>
  <c r="CQ24" i="8"/>
  <c r="CU24" i="8" s="1"/>
  <c r="CQ25" i="8"/>
  <c r="CU25" i="8" s="1"/>
  <c r="P23" i="8"/>
  <c r="CO23" i="8"/>
  <c r="CO28" i="8"/>
  <c r="CQ33" i="8"/>
  <c r="CU33" i="8" s="1"/>
  <c r="CO31" i="8"/>
  <c r="P31" i="8"/>
  <c r="CQ32" i="8"/>
  <c r="CU32" i="8" s="1"/>
  <c r="CQ42" i="8"/>
  <c r="CU42" i="8" s="1"/>
  <c r="CO40" i="8"/>
  <c r="P40" i="8"/>
  <c r="CQ41" i="8"/>
  <c r="CU41" i="8" s="1"/>
  <c r="CQ28" i="8"/>
  <c r="CU28" i="8" s="1"/>
  <c r="Q35" i="8"/>
  <c r="CP35" i="8"/>
  <c r="CQ39" i="8"/>
  <c r="CU39" i="8" s="1"/>
  <c r="P37" i="8"/>
  <c r="CO37" i="8"/>
  <c r="CY49" i="8" s="1"/>
  <c r="V49" i="8" s="1"/>
  <c r="P38" i="8"/>
  <c r="CO38" i="8"/>
  <c r="CQ40" i="8"/>
  <c r="CU40" i="8" s="1"/>
  <c r="CO26" i="8"/>
  <c r="CQ35" i="8"/>
  <c r="CU35" i="8" s="1"/>
  <c r="CO33" i="8"/>
  <c r="P33" i="8"/>
  <c r="CQ38" i="8"/>
  <c r="CU38" i="8" s="1"/>
  <c r="CQ44" i="8"/>
  <c r="CU44" i="8" s="1"/>
  <c r="CQ43" i="8"/>
  <c r="CU43" i="8" s="1"/>
  <c r="P42" i="8"/>
  <c r="CO39" i="8"/>
  <c r="P39" i="8"/>
  <c r="CO42" i="8"/>
  <c r="CQ34" i="8"/>
  <c r="CU34" i="8" s="1"/>
  <c r="CO32" i="8"/>
  <c r="CQ37" i="8"/>
  <c r="CU37" i="8" s="1"/>
  <c r="P35" i="8"/>
  <c r="CO36" i="8"/>
  <c r="P36" i="8"/>
  <c r="CP44" i="8"/>
  <c r="E9" i="7"/>
  <c r="BZ39" i="7" s="1"/>
  <c r="CA39" i="7" s="1"/>
  <c r="O39" i="7" s="1"/>
  <c r="G8" i="7"/>
  <c r="E7" i="7"/>
  <c r="CA41" i="7" s="1"/>
  <c r="CT44" i="7"/>
  <c r="CT43" i="7"/>
  <c r="CP43" i="7"/>
  <c r="V43" i="7"/>
  <c r="CT42" i="7"/>
  <c r="CP42" i="7"/>
  <c r="BZ42" i="7"/>
  <c r="CA42" i="7" s="1"/>
  <c r="V42" i="7"/>
  <c r="CT41" i="7"/>
  <c r="CT40" i="7"/>
  <c r="CP40" i="7"/>
  <c r="BZ40" i="7"/>
  <c r="CA40" i="7" s="1"/>
  <c r="V40" i="7"/>
  <c r="CT39" i="7"/>
  <c r="CP39" i="7"/>
  <c r="V39" i="7"/>
  <c r="CT38" i="7"/>
  <c r="CA38" i="7"/>
  <c r="CT37" i="7"/>
  <c r="CP37" i="7"/>
  <c r="BZ37" i="7"/>
  <c r="CA37" i="7" s="1"/>
  <c r="O37" i="7" s="1"/>
  <c r="V37" i="7"/>
  <c r="CT36" i="7"/>
  <c r="CP36" i="7"/>
  <c r="BZ36" i="7"/>
  <c r="CA36" i="7" s="1"/>
  <c r="CB36" i="7" s="1"/>
  <c r="P36" i="7" s="1"/>
  <c r="V36" i="7"/>
  <c r="CT35" i="7"/>
  <c r="CA35" i="7"/>
  <c r="O35" i="7" s="1"/>
  <c r="CT34" i="7"/>
  <c r="CP34" i="7"/>
  <c r="BZ34" i="7"/>
  <c r="CA34" i="7" s="1"/>
  <c r="CB34" i="7" s="1"/>
  <c r="V34" i="7"/>
  <c r="CT33" i="7"/>
  <c r="CP33" i="7"/>
  <c r="BZ33" i="7"/>
  <c r="CA33" i="7" s="1"/>
  <c r="V33" i="7"/>
  <c r="CT32" i="7"/>
  <c r="CA32" i="7"/>
  <c r="CT31" i="7"/>
  <c r="CP31" i="7"/>
  <c r="BZ31" i="7"/>
  <c r="CA31" i="7" s="1"/>
  <c r="V31" i="7"/>
  <c r="CT30" i="7"/>
  <c r="CP30" i="7"/>
  <c r="BZ30" i="7"/>
  <c r="CA30" i="7" s="1"/>
  <c r="V30" i="7"/>
  <c r="CT29" i="7"/>
  <c r="CA29" i="7"/>
  <c r="CT28" i="7"/>
  <c r="CP28" i="7"/>
  <c r="BZ28" i="7"/>
  <c r="CA28" i="7" s="1"/>
  <c r="CB28" i="7" s="1"/>
  <c r="V28" i="7"/>
  <c r="O28" i="7"/>
  <c r="CT27" i="7"/>
  <c r="CP27" i="7"/>
  <c r="BZ27" i="7"/>
  <c r="CA27" i="7" s="1"/>
  <c r="V27" i="7"/>
  <c r="CT26" i="7"/>
  <c r="CA26" i="7"/>
  <c r="CB26" i="7" s="1"/>
  <c r="P26" i="7" s="1"/>
  <c r="CT25" i="7"/>
  <c r="CP25" i="7"/>
  <c r="BZ25" i="7"/>
  <c r="CA25" i="7" s="1"/>
  <c r="V25" i="7"/>
  <c r="CT24" i="7"/>
  <c r="CP24" i="7"/>
  <c r="BZ24" i="7"/>
  <c r="CA24" i="7" s="1"/>
  <c r="O24" i="7" s="1"/>
  <c r="V24" i="7"/>
  <c r="CT23" i="7"/>
  <c r="CA23" i="7"/>
  <c r="O23" i="7" s="1"/>
  <c r="CT22" i="7"/>
  <c r="CP22" i="7"/>
  <c r="BZ22" i="7"/>
  <c r="CA22" i="7" s="1"/>
  <c r="V22" i="7"/>
  <c r="CT21" i="7"/>
  <c r="CP21" i="7"/>
  <c r="BZ21" i="7"/>
  <c r="CA21" i="7" s="1"/>
  <c r="V21" i="7"/>
  <c r="CT20" i="7"/>
  <c r="CA20" i="7"/>
  <c r="O20" i="7" s="1"/>
  <c r="V20" i="7"/>
  <c r="U20" i="7"/>
  <c r="CT19" i="7"/>
  <c r="CP19" i="7"/>
  <c r="BZ19" i="7"/>
  <c r="CA19" i="7" s="1"/>
  <c r="V19" i="7"/>
  <c r="U19" i="7"/>
  <c r="CT18" i="7"/>
  <c r="CP18" i="7"/>
  <c r="BZ18" i="7"/>
  <c r="CA18" i="7" s="1"/>
  <c r="O18" i="7" s="1"/>
  <c r="V18" i="7"/>
  <c r="U18" i="7"/>
  <c r="CT17" i="7"/>
  <c r="CA17" i="7"/>
  <c r="V17" i="7"/>
  <c r="U17" i="7"/>
  <c r="CT16" i="7"/>
  <c r="CP16" i="7"/>
  <c r="BZ16" i="7"/>
  <c r="CA16" i="7" s="1"/>
  <c r="V16" i="7"/>
  <c r="U16" i="7"/>
  <c r="CT15" i="7"/>
  <c r="CP15" i="7"/>
  <c r="BZ15" i="7"/>
  <c r="CA15" i="7" s="1"/>
  <c r="O15" i="7" s="1"/>
  <c r="V15" i="7"/>
  <c r="U15" i="7"/>
  <c r="CT14" i="7"/>
  <c r="CA14" i="7"/>
  <c r="CB14" i="7" s="1"/>
  <c r="V14" i="7"/>
  <c r="U14" i="7"/>
  <c r="CT13" i="7"/>
  <c r="CP13" i="7"/>
  <c r="BZ13" i="7"/>
  <c r="CA13" i="7" s="1"/>
  <c r="V13" i="7"/>
  <c r="U13" i="7"/>
  <c r="CT12" i="7"/>
  <c r="CP12" i="7"/>
  <c r="BZ12" i="7"/>
  <c r="CA12" i="7" s="1"/>
  <c r="V12" i="7"/>
  <c r="U12" i="7"/>
  <c r="CT11" i="7"/>
  <c r="CO11" i="7"/>
  <c r="CQ11" i="7" s="1"/>
  <c r="CR11" i="7" s="1"/>
  <c r="CS11" i="7" s="1"/>
  <c r="CA11" i="7"/>
  <c r="V11" i="7"/>
  <c r="U11" i="7"/>
  <c r="CT10" i="7"/>
  <c r="CP10" i="7"/>
  <c r="CQ10" i="7" s="1"/>
  <c r="CR10" i="7" s="1"/>
  <c r="CS10" i="7" s="1"/>
  <c r="CU10" i="7" s="1"/>
  <c r="W10" i="7" s="1"/>
  <c r="BZ10" i="7"/>
  <c r="CA10" i="7" s="1"/>
  <c r="V10" i="7"/>
  <c r="U10" i="7"/>
  <c r="CT9" i="7"/>
  <c r="CP9" i="7"/>
  <c r="CQ9" i="7" s="1"/>
  <c r="CR9" i="7" s="1"/>
  <c r="CS9" i="7" s="1"/>
  <c r="BZ9" i="7"/>
  <c r="CA9" i="7" s="1"/>
  <c r="V9" i="7"/>
  <c r="U9" i="7"/>
  <c r="S44" i="5"/>
  <c r="S38" i="5"/>
  <c r="S41" i="5"/>
  <c r="S35" i="5"/>
  <c r="S32" i="5"/>
  <c r="S29" i="5"/>
  <c r="S26" i="5"/>
  <c r="S23" i="5"/>
  <c r="S20" i="5"/>
  <c r="S17" i="5"/>
  <c r="S14" i="5"/>
  <c r="S11" i="5"/>
  <c r="R9" i="5"/>
  <c r="T9" i="5" s="1"/>
  <c r="U9" i="5" s="1"/>
  <c r="V9" i="5" s="1"/>
  <c r="CO12" i="7" l="1"/>
  <c r="CO13" i="7" s="1"/>
  <c r="CO14" i="7" s="1"/>
  <c r="CO15" i="7" s="1"/>
  <c r="CO16" i="7" s="1"/>
  <c r="CO17" i="7" s="1"/>
  <c r="CO18" i="7" s="1"/>
  <c r="CO19" i="7" s="1"/>
  <c r="CO20" i="7" s="1"/>
  <c r="CY39" i="8"/>
  <c r="CP49" i="8"/>
  <c r="R49" i="8" s="1"/>
  <c r="CP47" i="8"/>
  <c r="R47" i="8" s="1"/>
  <c r="CY54" i="8"/>
  <c r="V54" i="8" s="1"/>
  <c r="CY59" i="8"/>
  <c r="V59" i="8" s="1"/>
  <c r="AC11" i="8"/>
  <c r="CY44" i="8"/>
  <c r="V44" i="8" s="1"/>
  <c r="CY38" i="8"/>
  <c r="V38" i="8" s="1"/>
  <c r="P69" i="8"/>
  <c r="CY51" i="8"/>
  <c r="V51" i="8" s="1"/>
  <c r="CP61" i="8"/>
  <c r="Q61" i="8"/>
  <c r="CP67" i="8"/>
  <c r="R67" i="8" s="1"/>
  <c r="Q67" i="8"/>
  <c r="CP63" i="8"/>
  <c r="R63" i="8" s="1"/>
  <c r="Q63" i="8"/>
  <c r="CP59" i="8"/>
  <c r="R59" i="8" s="1"/>
  <c r="Q59" i="8"/>
  <c r="CY48" i="8"/>
  <c r="V48" i="8" s="1"/>
  <c r="CP65" i="8"/>
  <c r="R65" i="8" s="1"/>
  <c r="Q65" i="8"/>
  <c r="CP66" i="8"/>
  <c r="Q66" i="8"/>
  <c r="CP60" i="8"/>
  <c r="R60" i="8" s="1"/>
  <c r="Q60" i="8"/>
  <c r="CP58" i="8"/>
  <c r="R58" i="8" s="1"/>
  <c r="Q58" i="8"/>
  <c r="DB13" i="8"/>
  <c r="Z12" i="8"/>
  <c r="AB12" i="8" s="1"/>
  <c r="CY45" i="8"/>
  <c r="V45" i="8" s="1"/>
  <c r="CP57" i="8"/>
  <c r="Q57" i="8"/>
  <c r="CP64" i="8"/>
  <c r="Q64" i="8"/>
  <c r="CP46" i="8"/>
  <c r="R46" i="8" s="1"/>
  <c r="Q46" i="8"/>
  <c r="CP62" i="8"/>
  <c r="Q62" i="8"/>
  <c r="CP68" i="8"/>
  <c r="R68" i="8" s="1"/>
  <c r="Q68" i="8"/>
  <c r="DF11" i="8"/>
  <c r="DH11" i="8" s="1"/>
  <c r="X11" i="8" s="1"/>
  <c r="DF12" i="8"/>
  <c r="DH12" i="8" s="1"/>
  <c r="X12" i="8" s="1"/>
  <c r="CY50" i="8"/>
  <c r="CY40" i="8"/>
  <c r="CZ26" i="8"/>
  <c r="CY56" i="8"/>
  <c r="V56" i="8" s="1"/>
  <c r="CY33" i="8"/>
  <c r="CP52" i="8"/>
  <c r="R52" i="8" s="1"/>
  <c r="CY64" i="8"/>
  <c r="V64" i="8" s="1"/>
  <c r="CY47" i="8"/>
  <c r="V47" i="8" s="1"/>
  <c r="CY35" i="8"/>
  <c r="V35" i="8" s="1"/>
  <c r="CY55" i="8"/>
  <c r="CY36" i="8"/>
  <c r="CZ38" i="8" s="1"/>
  <c r="CY53" i="8"/>
  <c r="V53" i="8" s="1"/>
  <c r="CY62" i="8"/>
  <c r="V62" i="8" s="1"/>
  <c r="CP51" i="8"/>
  <c r="R51" i="8" s="1"/>
  <c r="CY63" i="8"/>
  <c r="V63" i="8" s="1"/>
  <c r="CY58" i="8"/>
  <c r="V58" i="8" s="1"/>
  <c r="CP54" i="8"/>
  <c r="R54" i="8" s="1"/>
  <c r="CY66" i="8"/>
  <c r="V66" i="8" s="1"/>
  <c r="CY52" i="8"/>
  <c r="CY43" i="8"/>
  <c r="V43" i="8" s="1"/>
  <c r="CZ23" i="8"/>
  <c r="CP34" i="8"/>
  <c r="CY46" i="8"/>
  <c r="CP55" i="8"/>
  <c r="R55" i="8" s="1"/>
  <c r="CY67" i="8"/>
  <c r="V67" i="8" s="1"/>
  <c r="CP48" i="8"/>
  <c r="CY60" i="8"/>
  <c r="V60" i="8" s="1"/>
  <c r="CY57" i="8"/>
  <c r="V57" i="8" s="1"/>
  <c r="Q22" i="8"/>
  <c r="CY34" i="8"/>
  <c r="V34" i="8" s="1"/>
  <c r="CZ29" i="8"/>
  <c r="Q20" i="8"/>
  <c r="CY32" i="8"/>
  <c r="CZ32" i="8" s="1"/>
  <c r="CY42" i="8"/>
  <c r="CP53" i="8"/>
  <c r="CY65" i="8"/>
  <c r="V65" i="8" s="1"/>
  <c r="CP56" i="8"/>
  <c r="CY68" i="8"/>
  <c r="V68" i="8" s="1"/>
  <c r="CY61" i="8"/>
  <c r="V61" i="8" s="1"/>
  <c r="R44" i="8"/>
  <c r="Q34" i="8"/>
  <c r="CP22" i="8"/>
  <c r="R22" i="8" s="1"/>
  <c r="CP20" i="8"/>
  <c r="CP30" i="8"/>
  <c r="R30" i="8" s="1"/>
  <c r="Q30" i="8"/>
  <c r="CP37" i="8"/>
  <c r="Q37" i="8"/>
  <c r="R34" i="8"/>
  <c r="CP31" i="8"/>
  <c r="Q31" i="8"/>
  <c r="V40" i="8"/>
  <c r="CP28" i="8"/>
  <c r="Q28" i="8"/>
  <c r="CP18" i="8"/>
  <c r="Q18" i="8"/>
  <c r="Q43" i="8"/>
  <c r="CP43" i="8"/>
  <c r="R43" i="8" s="1"/>
  <c r="Q24" i="8"/>
  <c r="CP24" i="8"/>
  <c r="V31" i="8"/>
  <c r="CP19" i="8"/>
  <c r="Q19" i="8"/>
  <c r="V28" i="8"/>
  <c r="CP16" i="8"/>
  <c r="Q16" i="8"/>
  <c r="R35" i="8"/>
  <c r="V22" i="8"/>
  <c r="Q10" i="8"/>
  <c r="CP10" i="8"/>
  <c r="CP26" i="8"/>
  <c r="Q26" i="8"/>
  <c r="CP42" i="8"/>
  <c r="Q42" i="8"/>
  <c r="CP33" i="8"/>
  <c r="Q33" i="8"/>
  <c r="CP38" i="8"/>
  <c r="Q38" i="8"/>
  <c r="CP21" i="8"/>
  <c r="Q21" i="8"/>
  <c r="CP29" i="8"/>
  <c r="Q29" i="8"/>
  <c r="V41" i="8"/>
  <c r="CP9" i="8"/>
  <c r="Q9" i="8"/>
  <c r="V25" i="8"/>
  <c r="CP13" i="8"/>
  <c r="Q13" i="8"/>
  <c r="CP36" i="8"/>
  <c r="Q36" i="8"/>
  <c r="CP39" i="8"/>
  <c r="Q39" i="8"/>
  <c r="CP40" i="8"/>
  <c r="Q40" i="8"/>
  <c r="CP27" i="8"/>
  <c r="Q27" i="8"/>
  <c r="R11" i="8"/>
  <c r="CP12" i="8"/>
  <c r="Q12" i="8"/>
  <c r="Q32" i="8"/>
  <c r="CP32" i="8"/>
  <c r="Q23" i="8"/>
  <c r="CP23" i="8"/>
  <c r="R17" i="8"/>
  <c r="V26" i="8"/>
  <c r="CP14" i="8"/>
  <c r="Q14" i="8"/>
  <c r="V37" i="8"/>
  <c r="CP25" i="8"/>
  <c r="Q25" i="8"/>
  <c r="CP15" i="8"/>
  <c r="Q15" i="8"/>
  <c r="O36" i="7"/>
  <c r="S45" i="5"/>
  <c r="O14" i="7"/>
  <c r="X9" i="5"/>
  <c r="AA9" i="5" s="1"/>
  <c r="CQ19" i="7"/>
  <c r="CR19" i="7" s="1"/>
  <c r="CS19" i="7" s="1"/>
  <c r="CU19" i="7" s="1"/>
  <c r="W19" i="7" s="1"/>
  <c r="O13" i="7"/>
  <c r="CB13" i="7"/>
  <c r="CC13" i="7" s="1"/>
  <c r="Q13" i="7" s="1"/>
  <c r="CC34" i="7"/>
  <c r="Q34" i="7" s="1"/>
  <c r="P34" i="7"/>
  <c r="CD9" i="7"/>
  <c r="O9" i="7"/>
  <c r="BZ43" i="7"/>
  <c r="CL26" i="7"/>
  <c r="U26" i="7" s="1"/>
  <c r="P14" i="7"/>
  <c r="CB41" i="7"/>
  <c r="CC41" i="7" s="1"/>
  <c r="O41" i="7"/>
  <c r="CD14" i="7"/>
  <c r="O26" i="7"/>
  <c r="CD36" i="7"/>
  <c r="CH36" i="7" s="1"/>
  <c r="CA43" i="7"/>
  <c r="CB43" i="7" s="1"/>
  <c r="CA44" i="7"/>
  <c r="CB18" i="7"/>
  <c r="CL30" i="7" s="1"/>
  <c r="CD31" i="7"/>
  <c r="CH31" i="7" s="1"/>
  <c r="CB35" i="7"/>
  <c r="P35" i="7" s="1"/>
  <c r="CD37" i="7"/>
  <c r="CH37" i="7" s="1"/>
  <c r="CB33" i="7"/>
  <c r="O33" i="7"/>
  <c r="CD35" i="7"/>
  <c r="CH35" i="7" s="1"/>
  <c r="CU9" i="7"/>
  <c r="W9" i="7" s="1"/>
  <c r="CD12" i="7"/>
  <c r="O10" i="7"/>
  <c r="CD10" i="7"/>
  <c r="CO21" i="7"/>
  <c r="CO22" i="7" s="1"/>
  <c r="CO23" i="7" s="1"/>
  <c r="CQ20" i="7"/>
  <c r="CR20" i="7" s="1"/>
  <c r="CS20" i="7" s="1"/>
  <c r="CU20" i="7" s="1"/>
  <c r="W20" i="7" s="1"/>
  <c r="CD18" i="7"/>
  <c r="O16" i="7"/>
  <c r="CQ16" i="7"/>
  <c r="CR16" i="7" s="1"/>
  <c r="CS16" i="7" s="1"/>
  <c r="CU16" i="7" s="1"/>
  <c r="W16" i="7" s="1"/>
  <c r="CQ17" i="7"/>
  <c r="CR17" i="7" s="1"/>
  <c r="CS17" i="7" s="1"/>
  <c r="CU17" i="7" s="1"/>
  <c r="W17" i="7" s="1"/>
  <c r="CD23" i="7"/>
  <c r="CH23" i="7" s="1"/>
  <c r="O21" i="7"/>
  <c r="CB25" i="7"/>
  <c r="O25" i="7"/>
  <c r="CL25" i="7"/>
  <c r="U25" i="7" s="1"/>
  <c r="CD27" i="7"/>
  <c r="CH27" i="7" s="1"/>
  <c r="CL40" i="7"/>
  <c r="U40" i="7" s="1"/>
  <c r="P28" i="7"/>
  <c r="CB40" i="7"/>
  <c r="O40" i="7"/>
  <c r="CD42" i="7"/>
  <c r="CH42" i="7" s="1"/>
  <c r="CD41" i="7"/>
  <c r="CH41" i="7" s="1"/>
  <c r="CB10" i="7"/>
  <c r="CB12" i="7"/>
  <c r="CQ13" i="7"/>
  <c r="CR13" i="7" s="1"/>
  <c r="CS13" i="7" s="1"/>
  <c r="CU13" i="7" s="1"/>
  <c r="W13" i="7" s="1"/>
  <c r="CB16" i="7"/>
  <c r="CB17" i="7"/>
  <c r="CD19" i="7"/>
  <c r="CD21" i="7"/>
  <c r="CH21" i="7" s="1"/>
  <c r="O19" i="7"/>
  <c r="CD20" i="7"/>
  <c r="CB21" i="7"/>
  <c r="CD24" i="7"/>
  <c r="CH24" i="7" s="1"/>
  <c r="O22" i="7"/>
  <c r="CB23" i="7"/>
  <c r="CD25" i="7"/>
  <c r="CH25" i="7" s="1"/>
  <c r="CC28" i="7"/>
  <c r="O29" i="7"/>
  <c r="CB29" i="7"/>
  <c r="CB9" i="7"/>
  <c r="CD13" i="7"/>
  <c r="CB11" i="7"/>
  <c r="O11" i="7"/>
  <c r="CU11" i="7"/>
  <c r="W11" i="7" s="1"/>
  <c r="CQ12" i="7"/>
  <c r="CR12" i="7" s="1"/>
  <c r="CS12" i="7" s="1"/>
  <c r="CU12" i="7" s="1"/>
  <c r="W12" i="7" s="1"/>
  <c r="CQ14" i="7"/>
  <c r="CR14" i="7" s="1"/>
  <c r="CS14" i="7" s="1"/>
  <c r="CU14" i="7" s="1"/>
  <c r="W14" i="7" s="1"/>
  <c r="CD17" i="7"/>
  <c r="CB19" i="7"/>
  <c r="CB20" i="7"/>
  <c r="CQ21" i="7"/>
  <c r="CR21" i="7" s="1"/>
  <c r="CS21" i="7" s="1"/>
  <c r="CU21" i="7" s="1"/>
  <c r="W21" i="7" s="1"/>
  <c r="CB22" i="7"/>
  <c r="CD26" i="7"/>
  <c r="CH26" i="7" s="1"/>
  <c r="CB24" i="7"/>
  <c r="CD29" i="7"/>
  <c r="CH29" i="7" s="1"/>
  <c r="O27" i="7"/>
  <c r="CD28" i="7"/>
  <c r="CH28" i="7" s="1"/>
  <c r="CD30" i="7"/>
  <c r="CH30" i="7" s="1"/>
  <c r="CD33" i="7"/>
  <c r="CH33" i="7" s="1"/>
  <c r="O31" i="7"/>
  <c r="CB38" i="7"/>
  <c r="CD40" i="7"/>
  <c r="CH40" i="7" s="1"/>
  <c r="O38" i="7"/>
  <c r="CB39" i="7"/>
  <c r="CD11" i="7"/>
  <c r="O12" i="7"/>
  <c r="P13" i="7"/>
  <c r="CD15" i="7"/>
  <c r="CC14" i="7"/>
  <c r="CB15" i="7"/>
  <c r="CQ15" i="7"/>
  <c r="CR15" i="7" s="1"/>
  <c r="CS15" i="7" s="1"/>
  <c r="CU15" i="7" s="1"/>
  <c r="W15" i="7" s="1"/>
  <c r="O17" i="7"/>
  <c r="CD22" i="7"/>
  <c r="CH22" i="7" s="1"/>
  <c r="CQ22" i="7"/>
  <c r="CR22" i="7" s="1"/>
  <c r="CS22" i="7" s="1"/>
  <c r="CU22" i="7" s="1"/>
  <c r="W22" i="7" s="1"/>
  <c r="CL38" i="7"/>
  <c r="U38" i="7" s="1"/>
  <c r="CC26" i="7"/>
  <c r="CB27" i="7"/>
  <c r="CB31" i="7"/>
  <c r="CD39" i="7"/>
  <c r="CH39" i="7" s="1"/>
  <c r="CB37" i="7"/>
  <c r="CD38" i="7"/>
  <c r="CH38" i="7" s="1"/>
  <c r="Q41" i="7"/>
  <c r="CD44" i="7"/>
  <c r="CH44" i="7" s="1"/>
  <c r="CB42" i="7"/>
  <c r="O42" i="7"/>
  <c r="CB30" i="7"/>
  <c r="O30" i="7"/>
  <c r="CD32" i="7"/>
  <c r="CH32" i="7" s="1"/>
  <c r="CD34" i="7"/>
  <c r="CH34" i="7" s="1"/>
  <c r="O32" i="7"/>
  <c r="CD16" i="7"/>
  <c r="CQ18" i="7"/>
  <c r="CR18" i="7" s="1"/>
  <c r="CS18" i="7" s="1"/>
  <c r="CU18" i="7" s="1"/>
  <c r="W18" i="7" s="1"/>
  <c r="CB32" i="7"/>
  <c r="O34" i="7"/>
  <c r="CC36" i="7"/>
  <c r="R10" i="5"/>
  <c r="V43" i="1"/>
  <c r="V42" i="1"/>
  <c r="V40" i="1"/>
  <c r="V39" i="1"/>
  <c r="V37" i="1"/>
  <c r="V36" i="1"/>
  <c r="V34" i="1"/>
  <c r="V33" i="1"/>
  <c r="V31" i="1"/>
  <c r="V30" i="1"/>
  <c r="V28" i="1"/>
  <c r="V27" i="1"/>
  <c r="V25" i="1"/>
  <c r="V24" i="1"/>
  <c r="V22" i="1"/>
  <c r="V21" i="1"/>
  <c r="V20" i="1"/>
  <c r="V19" i="1"/>
  <c r="V18" i="1"/>
  <c r="V17" i="1"/>
  <c r="V16" i="1"/>
  <c r="V15" i="1"/>
  <c r="V14" i="1"/>
  <c r="V13" i="1"/>
  <c r="V12" i="1"/>
  <c r="V11" i="1"/>
  <c r="V10" i="1"/>
  <c r="V9" i="1"/>
  <c r="CT44" i="1"/>
  <c r="CT43" i="1"/>
  <c r="CT42" i="1"/>
  <c r="CT41" i="1"/>
  <c r="CT40" i="1"/>
  <c r="CT39" i="1"/>
  <c r="CT38" i="1"/>
  <c r="CT37" i="1"/>
  <c r="CT36" i="1"/>
  <c r="CT35" i="1"/>
  <c r="CT34" i="1"/>
  <c r="CT33" i="1"/>
  <c r="CT32" i="1"/>
  <c r="CT31" i="1"/>
  <c r="CT30" i="1"/>
  <c r="CT29" i="1"/>
  <c r="CT28" i="1"/>
  <c r="CT27" i="1"/>
  <c r="CT26" i="1"/>
  <c r="CT25" i="1"/>
  <c r="CT24" i="1"/>
  <c r="CT23" i="1"/>
  <c r="CT22" i="1"/>
  <c r="CT21" i="1"/>
  <c r="CT20" i="1"/>
  <c r="CT19" i="1"/>
  <c r="CT18" i="1"/>
  <c r="CT17" i="1"/>
  <c r="CT16" i="1"/>
  <c r="CT15" i="1"/>
  <c r="CT14" i="1"/>
  <c r="CT13" i="1"/>
  <c r="CT12" i="1"/>
  <c r="CT11" i="1"/>
  <c r="CT10" i="1"/>
  <c r="CT9" i="1"/>
  <c r="CP43" i="1"/>
  <c r="CP42" i="1"/>
  <c r="CP40" i="1"/>
  <c r="CP39" i="1"/>
  <c r="CP37" i="1"/>
  <c r="CP36" i="1"/>
  <c r="CP34" i="1"/>
  <c r="CP33" i="1"/>
  <c r="CP31" i="1"/>
  <c r="CP30" i="1"/>
  <c r="CP28" i="1"/>
  <c r="CP27" i="1"/>
  <c r="CP25" i="1"/>
  <c r="CP24" i="1"/>
  <c r="CP22" i="1"/>
  <c r="CP21" i="1"/>
  <c r="CP19" i="1"/>
  <c r="CP18" i="1"/>
  <c r="CP16" i="1"/>
  <c r="CP15" i="1"/>
  <c r="CP13" i="1"/>
  <c r="CP12" i="1"/>
  <c r="CP10" i="1"/>
  <c r="CQ10" i="1" s="1"/>
  <c r="CR10" i="1" s="1"/>
  <c r="CS10" i="1" s="1"/>
  <c r="CP9" i="1"/>
  <c r="CQ9" i="1" s="1"/>
  <c r="CR9" i="1" s="1"/>
  <c r="CS9" i="1" s="1"/>
  <c r="CO11" i="1"/>
  <c r="U20" i="1"/>
  <c r="U19" i="1"/>
  <c r="U18" i="1"/>
  <c r="U17" i="1"/>
  <c r="U16" i="1"/>
  <c r="U15" i="1"/>
  <c r="U14" i="1"/>
  <c r="U13" i="1"/>
  <c r="U12" i="1"/>
  <c r="U11" i="1"/>
  <c r="U10" i="1"/>
  <c r="U9" i="1"/>
  <c r="O43" i="7" l="1"/>
  <c r="CC35" i="7"/>
  <c r="CD43" i="7"/>
  <c r="CH43" i="7" s="1"/>
  <c r="CQ11" i="1"/>
  <c r="CR11" i="1" s="1"/>
  <c r="CS11" i="1" s="1"/>
  <c r="CV35" i="1"/>
  <c r="CW35" i="1" s="1"/>
  <c r="CX35" i="1" s="1"/>
  <c r="CY35" i="1" s="1"/>
  <c r="CZ35" i="1" s="1"/>
  <c r="S47" i="8"/>
  <c r="V32" i="8"/>
  <c r="AC12" i="8"/>
  <c r="AD12" i="8" s="1"/>
  <c r="AF24" i="8" s="1"/>
  <c r="AD11" i="8"/>
  <c r="S46" i="8"/>
  <c r="T60" i="8"/>
  <c r="T50" i="8"/>
  <c r="R48" i="8"/>
  <c r="CZ56" i="8"/>
  <c r="W56" i="8" s="1"/>
  <c r="V55" i="8"/>
  <c r="T58" i="8"/>
  <c r="R56" i="8"/>
  <c r="S51" i="8"/>
  <c r="CZ47" i="8"/>
  <c r="W47" i="8" s="1"/>
  <c r="V46" i="8"/>
  <c r="CZ53" i="8"/>
  <c r="W53" i="8" s="1"/>
  <c r="V52" i="8"/>
  <c r="T66" i="8"/>
  <c r="S67" i="8"/>
  <c r="S62" i="8"/>
  <c r="R57" i="8"/>
  <c r="R61" i="8"/>
  <c r="Q69" i="8"/>
  <c r="DB14" i="8"/>
  <c r="Z13" i="8"/>
  <c r="AB13" i="8" s="1"/>
  <c r="DD13" i="8"/>
  <c r="DE13" i="8" s="1"/>
  <c r="DF13" i="8" s="1"/>
  <c r="DH13" i="8" s="1"/>
  <c r="X13" i="8" s="1"/>
  <c r="T49" i="8"/>
  <c r="R66" i="8"/>
  <c r="S55" i="8"/>
  <c r="R53" i="8"/>
  <c r="CZ50" i="8"/>
  <c r="W50" i="8" s="1"/>
  <c r="V50" i="8"/>
  <c r="R62" i="8"/>
  <c r="R64" i="8"/>
  <c r="CZ35" i="8"/>
  <c r="W35" i="8" s="1"/>
  <c r="CZ59" i="8"/>
  <c r="W59" i="8" s="1"/>
  <c r="CZ65" i="8"/>
  <c r="W65" i="8" s="1"/>
  <c r="CZ44" i="8"/>
  <c r="W44" i="8" s="1"/>
  <c r="CW54" i="8"/>
  <c r="CW50" i="8"/>
  <c r="CW46" i="8"/>
  <c r="CW55" i="8"/>
  <c r="CW53" i="8"/>
  <c r="CW49" i="8"/>
  <c r="CW45" i="8"/>
  <c r="CW47" i="8"/>
  <c r="CW56" i="8"/>
  <c r="CW52" i="8"/>
  <c r="CW48" i="8"/>
  <c r="CW51" i="8"/>
  <c r="CW68" i="8"/>
  <c r="CW63" i="8"/>
  <c r="CW59" i="8"/>
  <c r="CW67" i="8"/>
  <c r="CW66" i="8"/>
  <c r="CZ62" i="8"/>
  <c r="W62" i="8" s="1"/>
  <c r="CZ68" i="8"/>
  <c r="W68" i="8" s="1"/>
  <c r="CW60" i="8"/>
  <c r="CW57" i="8"/>
  <c r="CW58" i="8"/>
  <c r="CW42" i="8"/>
  <c r="CW38" i="8"/>
  <c r="CW34" i="8"/>
  <c r="CW39" i="8"/>
  <c r="CW41" i="8"/>
  <c r="CW37" i="8"/>
  <c r="CW33" i="8"/>
  <c r="CW35" i="8"/>
  <c r="CW44" i="8"/>
  <c r="CW40" i="8"/>
  <c r="CW36" i="8"/>
  <c r="CW43" i="8"/>
  <c r="CW65" i="8"/>
  <c r="CW30" i="8"/>
  <c r="CW26" i="8"/>
  <c r="CW22" i="8"/>
  <c r="CW27" i="8"/>
  <c r="CW29" i="8"/>
  <c r="CW25" i="8"/>
  <c r="CW21" i="8"/>
  <c r="CW32" i="8"/>
  <c r="CW28" i="8"/>
  <c r="CW24" i="8"/>
  <c r="CW31" i="8"/>
  <c r="CW23" i="8"/>
  <c r="CW64" i="8"/>
  <c r="CW61" i="8"/>
  <c r="CW62" i="8"/>
  <c r="S24" i="8"/>
  <c r="T22" i="8"/>
  <c r="R20" i="8"/>
  <c r="R12" i="8"/>
  <c r="R25" i="8"/>
  <c r="R23" i="8"/>
  <c r="W26" i="8"/>
  <c r="V24" i="8"/>
  <c r="R40" i="8"/>
  <c r="R36" i="8"/>
  <c r="R38" i="8"/>
  <c r="R10" i="8"/>
  <c r="R24" i="8"/>
  <c r="R18" i="8"/>
  <c r="R28" i="8"/>
  <c r="R31" i="8"/>
  <c r="V42" i="8"/>
  <c r="R15" i="8"/>
  <c r="R9" i="8"/>
  <c r="R21" i="8"/>
  <c r="R42" i="8"/>
  <c r="R26" i="8"/>
  <c r="W32" i="8"/>
  <c r="V30" i="8"/>
  <c r="R14" i="8"/>
  <c r="R32" i="8"/>
  <c r="CZ41" i="8"/>
  <c r="W41" i="8" s="1"/>
  <c r="V39" i="8"/>
  <c r="R29" i="8"/>
  <c r="R16" i="8"/>
  <c r="W29" i="8"/>
  <c r="V27" i="8"/>
  <c r="R27" i="8"/>
  <c r="R39" i="8"/>
  <c r="R13" i="8"/>
  <c r="W23" i="8"/>
  <c r="V21" i="8"/>
  <c r="V33" i="8"/>
  <c r="R33" i="8"/>
  <c r="R19" i="8"/>
  <c r="W38" i="8"/>
  <c r="V36" i="8"/>
  <c r="R37" i="8"/>
  <c r="Y21" i="5"/>
  <c r="P41" i="7"/>
  <c r="CC18" i="7"/>
  <c r="Q18" i="7" s="1"/>
  <c r="P18" i="7"/>
  <c r="CC43" i="7"/>
  <c r="Q43" i="7" s="1"/>
  <c r="P43" i="7"/>
  <c r="O44" i="7"/>
  <c r="O45" i="7" s="1"/>
  <c r="CB44" i="7"/>
  <c r="Q35" i="7"/>
  <c r="CC42" i="7"/>
  <c r="P42" i="7"/>
  <c r="CC31" i="7"/>
  <c r="CL43" i="7"/>
  <c r="U43" i="7" s="1"/>
  <c r="P31" i="7"/>
  <c r="CC24" i="7"/>
  <c r="CL36" i="7"/>
  <c r="P24" i="7"/>
  <c r="CL32" i="7"/>
  <c r="U32" i="7" s="1"/>
  <c r="CC20" i="7"/>
  <c r="P20" i="7"/>
  <c r="CC11" i="7"/>
  <c r="P11" i="7"/>
  <c r="CL23" i="7"/>
  <c r="U23" i="7" s="1"/>
  <c r="CC23" i="7"/>
  <c r="P23" i="7"/>
  <c r="CL35" i="7"/>
  <c r="U35" i="7" s="1"/>
  <c r="Q36" i="7"/>
  <c r="CC15" i="7"/>
  <c r="P15" i="7"/>
  <c r="CL27" i="7"/>
  <c r="CC39" i="7"/>
  <c r="P39" i="7"/>
  <c r="CC37" i="7"/>
  <c r="P37" i="7"/>
  <c r="CL39" i="7"/>
  <c r="CC27" i="7"/>
  <c r="P27" i="7"/>
  <c r="Q14" i="7"/>
  <c r="CL34" i="7"/>
  <c r="U34" i="7" s="1"/>
  <c r="CC22" i="7"/>
  <c r="P22" i="7"/>
  <c r="CC9" i="7"/>
  <c r="CL21" i="7"/>
  <c r="P9" i="7"/>
  <c r="P29" i="7"/>
  <c r="CC29" i="7"/>
  <c r="CL41" i="7"/>
  <c r="U41" i="7" s="1"/>
  <c r="CL29" i="7"/>
  <c r="U29" i="7" s="1"/>
  <c r="CC17" i="7"/>
  <c r="P17" i="7"/>
  <c r="CL24" i="7"/>
  <c r="CC12" i="7"/>
  <c r="P12" i="7"/>
  <c r="CL37" i="7"/>
  <c r="U37" i="7" s="1"/>
  <c r="P25" i="7"/>
  <c r="CC25" i="7"/>
  <c r="CQ23" i="7"/>
  <c r="CR23" i="7" s="1"/>
  <c r="CS23" i="7" s="1"/>
  <c r="CU23" i="7" s="1"/>
  <c r="W23" i="7" s="1"/>
  <c r="CO24" i="7"/>
  <c r="P30" i="7"/>
  <c r="CL42" i="7"/>
  <c r="CC30" i="7"/>
  <c r="CC38" i="7"/>
  <c r="P38" i="7"/>
  <c r="Q28" i="7"/>
  <c r="U30" i="7"/>
  <c r="CL31" i="7"/>
  <c r="U31" i="7" s="1"/>
  <c r="CC19" i="7"/>
  <c r="P19" i="7"/>
  <c r="P33" i="7"/>
  <c r="CC33" i="7"/>
  <c r="CL44" i="7"/>
  <c r="U44" i="7" s="1"/>
  <c r="CC32" i="7"/>
  <c r="P32" i="7"/>
  <c r="Q26" i="7"/>
  <c r="CE36" i="7"/>
  <c r="CF36" i="7" s="1"/>
  <c r="CG36" i="7" s="1"/>
  <c r="CL33" i="7"/>
  <c r="CC21" i="7"/>
  <c r="P21" i="7"/>
  <c r="CL28" i="7"/>
  <c r="U28" i="7" s="1"/>
  <c r="P16" i="7"/>
  <c r="CC16" i="7"/>
  <c r="CL22" i="7"/>
  <c r="U22" i="7" s="1"/>
  <c r="CC10" i="7"/>
  <c r="P10" i="7"/>
  <c r="P40" i="7"/>
  <c r="CC40" i="7"/>
  <c r="R11" i="5"/>
  <c r="T10" i="5"/>
  <c r="U10" i="5" s="1"/>
  <c r="V10" i="5" s="1"/>
  <c r="CU9" i="1"/>
  <c r="W9" i="1" s="1"/>
  <c r="CU11" i="1"/>
  <c r="W11" i="1" s="1"/>
  <c r="CU10" i="1"/>
  <c r="W10" i="1" s="1"/>
  <c r="CO12" i="1"/>
  <c r="CA11" i="1"/>
  <c r="CA44" i="1"/>
  <c r="CA41" i="1"/>
  <c r="CA38" i="1"/>
  <c r="CA35" i="1"/>
  <c r="CA32" i="1"/>
  <c r="CA29" i="1"/>
  <c r="CA26" i="1"/>
  <c r="CA23" i="1"/>
  <c r="CA20" i="1"/>
  <c r="CA17" i="1"/>
  <c r="CA14" i="1"/>
  <c r="O14" i="1" s="1"/>
  <c r="BZ43" i="1"/>
  <c r="CA43" i="1" s="1"/>
  <c r="BZ42" i="1"/>
  <c r="CA42" i="1" s="1"/>
  <c r="BZ40" i="1"/>
  <c r="CA40" i="1" s="1"/>
  <c r="BZ39" i="1"/>
  <c r="CA39" i="1" s="1"/>
  <c r="O39" i="1" s="1"/>
  <c r="BZ37" i="1"/>
  <c r="CA37" i="1" s="1"/>
  <c r="BZ36" i="1"/>
  <c r="CA36" i="1" s="1"/>
  <c r="BZ34" i="1"/>
  <c r="CA34" i="1" s="1"/>
  <c r="BZ33" i="1"/>
  <c r="CA33" i="1" s="1"/>
  <c r="BZ27" i="1"/>
  <c r="CA27" i="1" s="1"/>
  <c r="O27" i="1" s="1"/>
  <c r="BZ25" i="1"/>
  <c r="CA25" i="1" s="1"/>
  <c r="BZ24" i="1"/>
  <c r="CA24" i="1" s="1"/>
  <c r="BZ22" i="1"/>
  <c r="CA22" i="1" s="1"/>
  <c r="BZ21" i="1"/>
  <c r="CA21" i="1" s="1"/>
  <c r="BZ31" i="1"/>
  <c r="CA31" i="1" s="1"/>
  <c r="O31" i="1" s="1"/>
  <c r="BZ30" i="1"/>
  <c r="CA30" i="1" s="1"/>
  <c r="BZ28" i="1"/>
  <c r="CA28" i="1" s="1"/>
  <c r="BZ12" i="1"/>
  <c r="CA12" i="1" s="1"/>
  <c r="BZ15" i="1"/>
  <c r="CA15" i="1" s="1"/>
  <c r="O15" i="1" s="1"/>
  <c r="BZ13" i="1"/>
  <c r="CA13" i="1" s="1"/>
  <c r="BZ16" i="1"/>
  <c r="CA16" i="1" s="1"/>
  <c r="BZ18" i="1"/>
  <c r="CA18" i="1" s="1"/>
  <c r="BZ19" i="1"/>
  <c r="CA19" i="1" s="1"/>
  <c r="O19" i="1" s="1"/>
  <c r="BZ9" i="1"/>
  <c r="CA9" i="1" s="1"/>
  <c r="BZ10" i="1"/>
  <c r="CA10" i="1" s="1"/>
  <c r="T46" i="8" l="1"/>
  <c r="T47" i="8"/>
  <c r="CO13" i="1"/>
  <c r="CV36" i="1"/>
  <c r="CW36" i="1" s="1"/>
  <c r="CX36" i="1" s="1"/>
  <c r="CY36" i="1" s="1"/>
  <c r="CZ36" i="1" s="1"/>
  <c r="T55" i="8"/>
  <c r="S58" i="8"/>
  <c r="T62" i="8"/>
  <c r="S50" i="8"/>
  <c r="T67" i="8"/>
  <c r="AE12" i="8"/>
  <c r="S60" i="8"/>
  <c r="AC13" i="8"/>
  <c r="AD13" i="8" s="1"/>
  <c r="AF25" i="8" s="1"/>
  <c r="AF23" i="8"/>
  <c r="AE11" i="8"/>
  <c r="U62" i="8"/>
  <c r="U50" i="8"/>
  <c r="S66" i="8"/>
  <c r="T51" i="8"/>
  <c r="U66" i="8"/>
  <c r="U49" i="8"/>
  <c r="S49" i="8"/>
  <c r="S63" i="8"/>
  <c r="T63" i="8"/>
  <c r="S59" i="8"/>
  <c r="T59" i="8"/>
  <c r="S64" i="8"/>
  <c r="T64" i="8"/>
  <c r="W69" i="8"/>
  <c r="V69" i="8"/>
  <c r="R69" i="8"/>
  <c r="U64" i="8"/>
  <c r="S65" i="8"/>
  <c r="T65" i="8"/>
  <c r="S68" i="8"/>
  <c r="T68" i="8"/>
  <c r="DB15" i="8"/>
  <c r="DD15" i="8" s="1"/>
  <c r="DE15" i="8" s="1"/>
  <c r="Z14" i="8"/>
  <c r="AB14" i="8" s="1"/>
  <c r="DD14" i="8"/>
  <c r="DE14" i="8" s="1"/>
  <c r="DF14" i="8" s="1"/>
  <c r="DH14" i="8" s="1"/>
  <c r="X14" i="8" s="1"/>
  <c r="S61" i="8"/>
  <c r="T61" i="8"/>
  <c r="T54" i="8"/>
  <c r="S54" i="8"/>
  <c r="S56" i="8"/>
  <c r="S45" i="8"/>
  <c r="T57" i="8"/>
  <c r="S57" i="8"/>
  <c r="U60" i="8"/>
  <c r="S53" i="8"/>
  <c r="T48" i="8"/>
  <c r="S48" i="8"/>
  <c r="T52" i="8"/>
  <c r="S52" i="8"/>
  <c r="U58" i="8"/>
  <c r="U47" i="8"/>
  <c r="S13" i="8"/>
  <c r="S19" i="8"/>
  <c r="S22" i="8"/>
  <c r="T24" i="8"/>
  <c r="T19" i="8"/>
  <c r="T13" i="8"/>
  <c r="S29" i="8"/>
  <c r="T29" i="8"/>
  <c r="S43" i="8"/>
  <c r="T43" i="8"/>
  <c r="T11" i="8"/>
  <c r="S11" i="8"/>
  <c r="S26" i="8"/>
  <c r="T26" i="8"/>
  <c r="S39" i="8"/>
  <c r="T39" i="8"/>
  <c r="S15" i="8"/>
  <c r="T15" i="8"/>
  <c r="S18" i="8"/>
  <c r="T18" i="8"/>
  <c r="T9" i="8"/>
  <c r="S9" i="8"/>
  <c r="S32" i="8"/>
  <c r="T32" i="8"/>
  <c r="S30" i="8"/>
  <c r="T30" i="8"/>
  <c r="S12" i="8"/>
  <c r="T12" i="8"/>
  <c r="S25" i="8"/>
  <c r="T25" i="8"/>
  <c r="T14" i="8"/>
  <c r="S14" i="8"/>
  <c r="S35" i="8"/>
  <c r="T35" i="8"/>
  <c r="S41" i="8"/>
  <c r="T41" i="8"/>
  <c r="S36" i="8"/>
  <c r="T36" i="8"/>
  <c r="S21" i="8"/>
  <c r="T21" i="8"/>
  <c r="S31" i="8"/>
  <c r="T31" i="8"/>
  <c r="S44" i="8"/>
  <c r="T44" i="8"/>
  <c r="U22" i="8"/>
  <c r="S37" i="8"/>
  <c r="T37" i="8"/>
  <c r="S38" i="8"/>
  <c r="T38" i="8"/>
  <c r="S16" i="8"/>
  <c r="T16" i="8"/>
  <c r="S42" i="8"/>
  <c r="T42" i="8"/>
  <c r="S34" i="8"/>
  <c r="T34" i="8"/>
  <c r="S28" i="8"/>
  <c r="T28" i="8"/>
  <c r="S23" i="8"/>
  <c r="T23" i="8"/>
  <c r="S17" i="8"/>
  <c r="T17" i="8"/>
  <c r="S33" i="8"/>
  <c r="T33" i="8"/>
  <c r="T20" i="8"/>
  <c r="S20" i="8"/>
  <c r="T10" i="8"/>
  <c r="S10" i="8"/>
  <c r="S40" i="8"/>
  <c r="T40" i="8"/>
  <c r="S27" i="8"/>
  <c r="T27" i="8"/>
  <c r="W10" i="5"/>
  <c r="CE16" i="7"/>
  <c r="CF16" i="7" s="1"/>
  <c r="CG16" i="7" s="1"/>
  <c r="P44" i="7"/>
  <c r="CC44" i="7"/>
  <c r="Q44" i="7" s="1"/>
  <c r="CM35" i="7"/>
  <c r="V35" i="7" s="1"/>
  <c r="U33" i="7"/>
  <c r="CE35" i="7"/>
  <c r="CF35" i="7" s="1"/>
  <c r="CG35" i="7" s="1"/>
  <c r="Q33" i="7"/>
  <c r="CE21" i="7"/>
  <c r="CF21" i="7" s="1"/>
  <c r="CG21" i="7" s="1"/>
  <c r="Q19" i="7"/>
  <c r="CE27" i="7"/>
  <c r="CF27" i="7" s="1"/>
  <c r="CG27" i="7" s="1"/>
  <c r="Q25" i="7"/>
  <c r="CE14" i="7"/>
  <c r="CF14" i="7" s="1"/>
  <c r="CG14" i="7" s="1"/>
  <c r="Q12" i="7"/>
  <c r="CE31" i="7"/>
  <c r="CF31" i="7" s="1"/>
  <c r="CG31" i="7" s="1"/>
  <c r="Q29" i="7"/>
  <c r="CJ40" i="7"/>
  <c r="CJ38" i="7"/>
  <c r="CJ33" i="7"/>
  <c r="CJ39" i="7"/>
  <c r="CJ35" i="7"/>
  <c r="CJ30" i="7"/>
  <c r="CJ25" i="7"/>
  <c r="CJ23" i="7"/>
  <c r="CJ43" i="7"/>
  <c r="CJ41" i="7"/>
  <c r="CJ36" i="7"/>
  <c r="CJ34" i="7"/>
  <c r="CJ31" i="7"/>
  <c r="CJ29" i="7"/>
  <c r="CJ26" i="7"/>
  <c r="CJ21" i="7"/>
  <c r="CJ44" i="7"/>
  <c r="CJ27" i="7"/>
  <c r="CJ22" i="7"/>
  <c r="Q9" i="7"/>
  <c r="CJ42" i="7"/>
  <c r="CE9" i="7"/>
  <c r="CF9" i="7" s="1"/>
  <c r="CG9" i="7" s="1"/>
  <c r="CJ37" i="7"/>
  <c r="CJ32" i="7"/>
  <c r="CJ24" i="7"/>
  <c r="CJ28" i="7"/>
  <c r="CE11" i="7"/>
  <c r="CF11" i="7" s="1"/>
  <c r="CG11" i="7" s="1"/>
  <c r="CE24" i="7"/>
  <c r="CF24" i="7" s="1"/>
  <c r="CG24" i="7" s="1"/>
  <c r="Q22" i="7"/>
  <c r="CE39" i="7"/>
  <c r="CF39" i="7" s="1"/>
  <c r="CG39" i="7" s="1"/>
  <c r="Q37" i="7"/>
  <c r="CE41" i="7"/>
  <c r="CF41" i="7" s="1"/>
  <c r="CG41" i="7" s="1"/>
  <c r="Q39" i="7"/>
  <c r="CE25" i="7"/>
  <c r="CF25" i="7" s="1"/>
  <c r="CG25" i="7" s="1"/>
  <c r="Q23" i="7"/>
  <c r="U36" i="7"/>
  <c r="CM38" i="7"/>
  <c r="V38" i="7" s="1"/>
  <c r="CE37" i="7"/>
  <c r="CF37" i="7" s="1"/>
  <c r="CG37" i="7" s="1"/>
  <c r="CE10" i="7"/>
  <c r="CF10" i="7" s="1"/>
  <c r="CG10" i="7" s="1"/>
  <c r="CE12" i="7"/>
  <c r="CF12" i="7" s="1"/>
  <c r="CG12" i="7" s="1"/>
  <c r="Q10" i="7"/>
  <c r="CE34" i="7"/>
  <c r="CF34" i="7" s="1"/>
  <c r="CG34" i="7" s="1"/>
  <c r="Q32" i="7"/>
  <c r="CM32" i="7"/>
  <c r="V32" i="7" s="1"/>
  <c r="CE40" i="7"/>
  <c r="CF40" i="7" s="1"/>
  <c r="CG40" i="7" s="1"/>
  <c r="Q38" i="7"/>
  <c r="CO25" i="7"/>
  <c r="CQ24" i="7"/>
  <c r="CR24" i="7" s="1"/>
  <c r="CS24" i="7" s="1"/>
  <c r="CU24" i="7" s="1"/>
  <c r="W24" i="7" s="1"/>
  <c r="CM26" i="7"/>
  <c r="V26" i="7" s="1"/>
  <c r="U24" i="7"/>
  <c r="CE20" i="7"/>
  <c r="CF20" i="7" s="1"/>
  <c r="CG20" i="7" s="1"/>
  <c r="CE29" i="7"/>
  <c r="CF29" i="7" s="1"/>
  <c r="CG29" i="7" s="1"/>
  <c r="Q27" i="7"/>
  <c r="U27" i="7"/>
  <c r="CM29" i="7"/>
  <c r="V29" i="7" s="1"/>
  <c r="CE22" i="7"/>
  <c r="CF22" i="7" s="1"/>
  <c r="CG22" i="7" s="1"/>
  <c r="Q20" i="7"/>
  <c r="CE26" i="7"/>
  <c r="CF26" i="7" s="1"/>
  <c r="CG26" i="7" s="1"/>
  <c r="Q24" i="7"/>
  <c r="Q31" i="7"/>
  <c r="CE33" i="7"/>
  <c r="CF33" i="7" s="1"/>
  <c r="CG33" i="7" s="1"/>
  <c r="CE42" i="7"/>
  <c r="CF42" i="7" s="1"/>
  <c r="CG42" i="7" s="1"/>
  <c r="Q40" i="7"/>
  <c r="CE28" i="7"/>
  <c r="CF28" i="7" s="1"/>
  <c r="CG28" i="7" s="1"/>
  <c r="CE30" i="7"/>
  <c r="CF30" i="7" s="1"/>
  <c r="CG30" i="7" s="1"/>
  <c r="Q30" i="7"/>
  <c r="CE32" i="7"/>
  <c r="CF32" i="7" s="1"/>
  <c r="CG32" i="7" s="1"/>
  <c r="P45" i="7"/>
  <c r="Q16" i="7"/>
  <c r="CE18" i="7"/>
  <c r="CF18" i="7" s="1"/>
  <c r="CG18" i="7" s="1"/>
  <c r="CE23" i="7"/>
  <c r="CF23" i="7" s="1"/>
  <c r="CG23" i="7" s="1"/>
  <c r="Q21" i="7"/>
  <c r="R36" i="7"/>
  <c r="CI36" i="7"/>
  <c r="S36" i="7" s="1"/>
  <c r="CM44" i="7"/>
  <c r="V44" i="7" s="1"/>
  <c r="U42" i="7"/>
  <c r="CE19" i="7"/>
  <c r="CF19" i="7" s="1"/>
  <c r="CG19" i="7" s="1"/>
  <c r="Q17" i="7"/>
  <c r="CM23" i="7"/>
  <c r="V23" i="7" s="1"/>
  <c r="U21" i="7"/>
  <c r="CE17" i="7"/>
  <c r="CF17" i="7" s="1"/>
  <c r="CG17" i="7" s="1"/>
  <c r="Q15" i="7"/>
  <c r="CE15" i="7"/>
  <c r="CF15" i="7" s="1"/>
  <c r="CG15" i="7" s="1"/>
  <c r="CE38" i="7"/>
  <c r="CF38" i="7" s="1"/>
  <c r="CG38" i="7" s="1"/>
  <c r="CE13" i="7"/>
  <c r="CF13" i="7" s="1"/>
  <c r="CG13" i="7" s="1"/>
  <c r="Q11" i="7"/>
  <c r="Q42" i="7"/>
  <c r="CE44" i="7"/>
  <c r="CF44" i="7" s="1"/>
  <c r="CG44" i="7" s="1"/>
  <c r="CE43" i="7"/>
  <c r="CF43" i="7" s="1"/>
  <c r="CG43" i="7" s="1"/>
  <c r="CI16" i="7"/>
  <c r="S16" i="7" s="1"/>
  <c r="CM41" i="7"/>
  <c r="V41" i="7" s="1"/>
  <c r="U39" i="7"/>
  <c r="T11" i="5"/>
  <c r="U11" i="5" s="1"/>
  <c r="V11" i="5" s="1"/>
  <c r="W11" i="5" s="1"/>
  <c r="R12" i="5"/>
  <c r="CB28" i="1"/>
  <c r="O28" i="1"/>
  <c r="CB12" i="1"/>
  <c r="CE12" i="1" s="1"/>
  <c r="O12" i="1"/>
  <c r="CB37" i="1"/>
  <c r="O37" i="1"/>
  <c r="CB32" i="1"/>
  <c r="O32" i="1"/>
  <c r="CB25" i="1"/>
  <c r="O25" i="1"/>
  <c r="CB36" i="1"/>
  <c r="CE36" i="1" s="1"/>
  <c r="CE37" i="1" s="1"/>
  <c r="O36" i="1"/>
  <c r="CB42" i="1"/>
  <c r="CE42" i="1" s="1"/>
  <c r="O42" i="1"/>
  <c r="CB20" i="1"/>
  <c r="O20" i="1"/>
  <c r="CB29" i="1"/>
  <c r="O29" i="1"/>
  <c r="CB41" i="1"/>
  <c r="O41" i="1"/>
  <c r="CQ13" i="1"/>
  <c r="CR13" i="1" s="1"/>
  <c r="CS13" i="1" s="1"/>
  <c r="CU13" i="1" s="1"/>
  <c r="W13" i="1" s="1"/>
  <c r="CB18" i="1"/>
  <c r="CE18" i="1" s="1"/>
  <c r="CE19" i="1" s="1"/>
  <c r="CE20" i="1" s="1"/>
  <c r="CF20" i="1" s="1"/>
  <c r="CG20" i="1" s="1"/>
  <c r="O18" i="1"/>
  <c r="CB23" i="1"/>
  <c r="O23" i="1"/>
  <c r="CB16" i="1"/>
  <c r="O16" i="1"/>
  <c r="CB22" i="1"/>
  <c r="O22" i="1"/>
  <c r="CB33" i="1"/>
  <c r="CE33" i="1" s="1"/>
  <c r="O33" i="1"/>
  <c r="CB26" i="1"/>
  <c r="O26" i="1"/>
  <c r="CB35" i="1"/>
  <c r="O35" i="1"/>
  <c r="CB11" i="1"/>
  <c r="O11" i="1"/>
  <c r="CB21" i="1"/>
  <c r="CE21" i="1" s="1"/>
  <c r="CE22" i="1" s="1"/>
  <c r="CE23" i="1" s="1"/>
  <c r="O21" i="1"/>
  <c r="CB43" i="1"/>
  <c r="O43" i="1"/>
  <c r="CB44" i="1"/>
  <c r="O44" i="1"/>
  <c r="CB10" i="1"/>
  <c r="O10" i="1"/>
  <c r="CB9" i="1"/>
  <c r="CF11" i="1" s="1"/>
  <c r="CG11" i="1" s="1"/>
  <c r="O9" i="1"/>
  <c r="CB13" i="1"/>
  <c r="CE13" i="1" s="1"/>
  <c r="O13" i="1"/>
  <c r="CB30" i="1"/>
  <c r="O30" i="1"/>
  <c r="CB24" i="1"/>
  <c r="CE24" i="1" s="1"/>
  <c r="O24" i="1"/>
  <c r="CB34" i="1"/>
  <c r="O34" i="1"/>
  <c r="CB40" i="1"/>
  <c r="O40" i="1"/>
  <c r="CB17" i="1"/>
  <c r="O17" i="1"/>
  <c r="CB38" i="1"/>
  <c r="O38" i="1"/>
  <c r="CB14" i="1"/>
  <c r="CE14" i="1" s="1"/>
  <c r="CF14" i="1" s="1"/>
  <c r="CG14" i="1" s="1"/>
  <c r="CQ12" i="1"/>
  <c r="CR12" i="1" s="1"/>
  <c r="CS12" i="1" s="1"/>
  <c r="CU12" i="1" s="1"/>
  <c r="W12" i="1" s="1"/>
  <c r="CB19" i="1"/>
  <c r="CD20" i="1"/>
  <c r="CD21" i="1"/>
  <c r="CB15" i="1"/>
  <c r="CE15" i="1" s="1"/>
  <c r="CD16" i="1"/>
  <c r="CD17" i="1"/>
  <c r="CB31" i="1"/>
  <c r="CD33" i="1"/>
  <c r="CB27" i="1"/>
  <c r="CE27" i="1" s="1"/>
  <c r="CE28" i="1" s="1"/>
  <c r="CE29" i="1" s="1"/>
  <c r="CD28" i="1"/>
  <c r="CD29" i="1"/>
  <c r="CB39" i="1"/>
  <c r="CE39" i="1" s="1"/>
  <c r="CD40" i="1"/>
  <c r="CD41" i="1"/>
  <c r="CD9" i="1"/>
  <c r="CD13" i="1"/>
  <c r="CD25" i="1"/>
  <c r="CD37" i="1"/>
  <c r="CD10" i="1"/>
  <c r="CD14" i="1"/>
  <c r="CD18" i="1"/>
  <c r="CD22" i="1"/>
  <c r="CD26" i="1"/>
  <c r="CD30" i="1"/>
  <c r="CD34" i="1"/>
  <c r="CD38" i="1"/>
  <c r="CD42" i="1"/>
  <c r="CD11" i="1"/>
  <c r="CD15" i="1"/>
  <c r="CD19" i="1"/>
  <c r="CD23" i="1"/>
  <c r="CD27" i="1"/>
  <c r="CD31" i="1"/>
  <c r="CD35" i="1"/>
  <c r="CD39" i="1"/>
  <c r="CD43" i="1"/>
  <c r="CD12" i="1"/>
  <c r="CD24" i="1"/>
  <c r="CD32" i="1"/>
  <c r="CD36" i="1"/>
  <c r="CD44" i="1"/>
  <c r="U51" i="8" l="1"/>
  <c r="U46" i="8"/>
  <c r="CL42" i="1"/>
  <c r="CE30" i="1"/>
  <c r="CE31" i="1" s="1"/>
  <c r="CE32" i="1" s="1"/>
  <c r="CE25" i="1"/>
  <c r="CE26" i="1" s="1"/>
  <c r="CE34" i="1"/>
  <c r="CE35" i="1" s="1"/>
  <c r="CE40" i="1"/>
  <c r="CE41" i="1" s="1"/>
  <c r="CE43" i="1"/>
  <c r="CE44" i="1" s="1"/>
  <c r="CE16" i="1"/>
  <c r="CE17" i="1" s="1"/>
  <c r="CF17" i="1" s="1"/>
  <c r="CG17" i="1" s="1"/>
  <c r="CE38" i="1"/>
  <c r="CL39" i="1"/>
  <c r="CO14" i="1"/>
  <c r="CV37" i="1"/>
  <c r="CW37" i="1" s="1"/>
  <c r="CX37" i="1" s="1"/>
  <c r="CY37" i="1" s="1"/>
  <c r="CZ37" i="1" s="1"/>
  <c r="U55" i="8"/>
  <c r="U67" i="8"/>
  <c r="U61" i="8"/>
  <c r="AE13" i="8"/>
  <c r="AC14" i="8"/>
  <c r="U59" i="8"/>
  <c r="DB16" i="8"/>
  <c r="Z15" i="8"/>
  <c r="AB15" i="8" s="1"/>
  <c r="U57" i="8"/>
  <c r="U48" i="8"/>
  <c r="U68" i="8"/>
  <c r="U63" i="8"/>
  <c r="U54" i="8"/>
  <c r="U65" i="8"/>
  <c r="S69" i="8"/>
  <c r="DF15" i="8"/>
  <c r="DH15" i="8" s="1"/>
  <c r="X15" i="8" s="1"/>
  <c r="U53" i="8"/>
  <c r="T53" i="8"/>
  <c r="U56" i="8"/>
  <c r="T56" i="8"/>
  <c r="U52" i="8"/>
  <c r="U45" i="8"/>
  <c r="T45" i="8"/>
  <c r="U41" i="8"/>
  <c r="U11" i="8"/>
  <c r="AJ11" i="8" s="1"/>
  <c r="U19" i="8"/>
  <c r="U14" i="8"/>
  <c r="AJ14" i="8" s="1"/>
  <c r="U16" i="8"/>
  <c r="U10" i="8"/>
  <c r="AJ10" i="8" s="1"/>
  <c r="U15" i="8"/>
  <c r="U17" i="8"/>
  <c r="U12" i="8"/>
  <c r="AJ12" i="8" s="1"/>
  <c r="U20" i="8"/>
  <c r="U9" i="8"/>
  <c r="AJ9" i="8" s="1"/>
  <c r="U18" i="8"/>
  <c r="U24" i="8"/>
  <c r="U13" i="8"/>
  <c r="AJ13" i="8" s="1"/>
  <c r="U26" i="8"/>
  <c r="U43" i="8"/>
  <c r="U25" i="8"/>
  <c r="U30" i="8"/>
  <c r="U28" i="8"/>
  <c r="U37" i="8"/>
  <c r="U31" i="8"/>
  <c r="U29" i="8"/>
  <c r="U32" i="8"/>
  <c r="U39" i="8"/>
  <c r="U34" i="8"/>
  <c r="U33" i="8"/>
  <c r="U23" i="8"/>
  <c r="U40" i="8"/>
  <c r="U27" i="8"/>
  <c r="U42" i="8"/>
  <c r="U38" i="8"/>
  <c r="U36" i="8"/>
  <c r="U21" i="8"/>
  <c r="U44" i="8"/>
  <c r="U35" i="8"/>
  <c r="Y22" i="5"/>
  <c r="X10" i="5"/>
  <c r="Y23" i="5"/>
  <c r="X11" i="5"/>
  <c r="AA11" i="5" s="1"/>
  <c r="CL44" i="1"/>
  <c r="U44" i="1" s="1"/>
  <c r="CL38" i="1"/>
  <c r="CL35" i="1"/>
  <c r="U35" i="1" s="1"/>
  <c r="CL41" i="1"/>
  <c r="U41" i="1" s="1"/>
  <c r="CL36" i="1"/>
  <c r="CL34" i="1"/>
  <c r="U34" i="1" s="1"/>
  <c r="CL37" i="1"/>
  <c r="CL40" i="1"/>
  <c r="U40" i="1" s="1"/>
  <c r="CL43" i="1"/>
  <c r="CL33" i="1"/>
  <c r="CK16" i="7"/>
  <c r="T16" i="7" s="1"/>
  <c r="R16" i="7"/>
  <c r="V45" i="7"/>
  <c r="CK36" i="7"/>
  <c r="T36" i="7" s="1"/>
  <c r="R15" i="7"/>
  <c r="CI15" i="7"/>
  <c r="S15" i="7" s="1"/>
  <c r="R30" i="7"/>
  <c r="CI30" i="7"/>
  <c r="S30" i="7" s="1"/>
  <c r="R26" i="7"/>
  <c r="CI26" i="7"/>
  <c r="S26" i="7" s="1"/>
  <c r="R20" i="7"/>
  <c r="CI20" i="7"/>
  <c r="S20" i="7" s="1"/>
  <c r="CQ25" i="7"/>
  <c r="CR25" i="7" s="1"/>
  <c r="CS25" i="7" s="1"/>
  <c r="CU25" i="7" s="1"/>
  <c r="W25" i="7" s="1"/>
  <c r="CO26" i="7"/>
  <c r="CI12" i="7"/>
  <c r="S12" i="7" s="1"/>
  <c r="R12" i="7"/>
  <c r="R41" i="7"/>
  <c r="CI41" i="7"/>
  <c r="S41" i="7" s="1"/>
  <c r="R24" i="7"/>
  <c r="CI24" i="7"/>
  <c r="S24" i="7" s="1"/>
  <c r="Q45" i="7"/>
  <c r="R23" i="7"/>
  <c r="CI23" i="7"/>
  <c r="S23" i="7" s="1"/>
  <c r="R28" i="7"/>
  <c r="CI28" i="7"/>
  <c r="S28" i="7" s="1"/>
  <c r="R33" i="7"/>
  <c r="CI33" i="7"/>
  <c r="S33" i="7" s="1"/>
  <c r="R34" i="7"/>
  <c r="CI34" i="7"/>
  <c r="S34" i="7" s="1"/>
  <c r="CI10" i="7"/>
  <c r="S10" i="7" s="1"/>
  <c r="R10" i="7"/>
  <c r="R11" i="7"/>
  <c r="CI11" i="7"/>
  <c r="S11" i="7" s="1"/>
  <c r="R31" i="7"/>
  <c r="CI31" i="7"/>
  <c r="S31" i="7" s="1"/>
  <c r="R27" i="7"/>
  <c r="CI27" i="7"/>
  <c r="S27" i="7" s="1"/>
  <c r="R35" i="7"/>
  <c r="CI35" i="7"/>
  <c r="S35" i="7" s="1"/>
  <c r="R43" i="7"/>
  <c r="CI43" i="7"/>
  <c r="S43" i="7" s="1"/>
  <c r="CI13" i="7"/>
  <c r="S13" i="7" s="1"/>
  <c r="R13" i="7"/>
  <c r="R17" i="7"/>
  <c r="CI17" i="7"/>
  <c r="S17" i="7" s="1"/>
  <c r="R19" i="7"/>
  <c r="CI19" i="7"/>
  <c r="S19" i="7" s="1"/>
  <c r="CI18" i="7"/>
  <c r="S18" i="7" s="1"/>
  <c r="R18" i="7"/>
  <c r="R32" i="7"/>
  <c r="CI32" i="7"/>
  <c r="S32" i="7" s="1"/>
  <c r="R22" i="7"/>
  <c r="CI22" i="7"/>
  <c r="S22" i="7" s="1"/>
  <c r="R29" i="7"/>
  <c r="CI29" i="7"/>
  <c r="S29" i="7" s="1"/>
  <c r="R40" i="7"/>
  <c r="CI40" i="7"/>
  <c r="S40" i="7" s="1"/>
  <c r="R37" i="7"/>
  <c r="CI37" i="7"/>
  <c r="S37" i="7" s="1"/>
  <c r="R25" i="7"/>
  <c r="CI25" i="7"/>
  <c r="S25" i="7" s="1"/>
  <c r="R39" i="7"/>
  <c r="CI39" i="7"/>
  <c r="S39" i="7" s="1"/>
  <c r="CI9" i="7"/>
  <c r="S9" i="7" s="1"/>
  <c r="R9" i="7"/>
  <c r="R44" i="7"/>
  <c r="CI44" i="7"/>
  <c r="S44" i="7" s="1"/>
  <c r="R38" i="7"/>
  <c r="CI38" i="7"/>
  <c r="S38" i="7" s="1"/>
  <c r="U45" i="7"/>
  <c r="R42" i="7"/>
  <c r="CI42" i="7"/>
  <c r="S42" i="7" s="1"/>
  <c r="R14" i="7"/>
  <c r="CI14" i="7"/>
  <c r="S14" i="7" s="1"/>
  <c r="R21" i="7"/>
  <c r="CI21" i="7"/>
  <c r="S21" i="7" s="1"/>
  <c r="R13" i="5"/>
  <c r="T12" i="5"/>
  <c r="U12" i="5" s="1"/>
  <c r="V12" i="5" s="1"/>
  <c r="W12" i="5" s="1"/>
  <c r="CC40" i="1"/>
  <c r="P40" i="1"/>
  <c r="CC10" i="1"/>
  <c r="CL22" i="1"/>
  <c r="U22" i="1" s="1"/>
  <c r="P10" i="1"/>
  <c r="CC11" i="1"/>
  <c r="CL23" i="1"/>
  <c r="U23" i="1" s="1"/>
  <c r="P11" i="1"/>
  <c r="CC26" i="1"/>
  <c r="Q26" i="1" s="1"/>
  <c r="U38" i="1"/>
  <c r="P26" i="1"/>
  <c r="CC22" i="1"/>
  <c r="P22" i="1"/>
  <c r="CC23" i="1"/>
  <c r="P23" i="1"/>
  <c r="CC20" i="1"/>
  <c r="CL32" i="1"/>
  <c r="U32" i="1" s="1"/>
  <c r="P20" i="1"/>
  <c r="CC31" i="1"/>
  <c r="U43" i="1"/>
  <c r="P31" i="1"/>
  <c r="CC38" i="1"/>
  <c r="P38" i="1"/>
  <c r="CC13" i="1"/>
  <c r="Q13" i="1" s="1"/>
  <c r="CL25" i="1"/>
  <c r="P13" i="1"/>
  <c r="CC41" i="1"/>
  <c r="P41" i="1"/>
  <c r="CC36" i="1"/>
  <c r="P36" i="1"/>
  <c r="CC12" i="1"/>
  <c r="CL24" i="1"/>
  <c r="U24" i="1" s="1"/>
  <c r="P12" i="1"/>
  <c r="CC27" i="1"/>
  <c r="P27" i="1"/>
  <c r="CC19" i="1"/>
  <c r="CL31" i="1"/>
  <c r="U31" i="1" s="1"/>
  <c r="P19" i="1"/>
  <c r="O45" i="1"/>
  <c r="CC24" i="1"/>
  <c r="U36" i="1"/>
  <c r="P24" i="1"/>
  <c r="CC43" i="1"/>
  <c r="Q43" i="1" s="1"/>
  <c r="P43" i="1"/>
  <c r="CC32" i="1"/>
  <c r="P32" i="1"/>
  <c r="CC39" i="1"/>
  <c r="P39" i="1"/>
  <c r="CC15" i="1"/>
  <c r="Q15" i="1" s="1"/>
  <c r="CL27" i="1"/>
  <c r="P15" i="1"/>
  <c r="CC14" i="1"/>
  <c r="Q14" i="1" s="1"/>
  <c r="CL26" i="1"/>
  <c r="U26" i="1" s="1"/>
  <c r="P14" i="1"/>
  <c r="CC17" i="1"/>
  <c r="Q17" i="1" s="1"/>
  <c r="CL29" i="1"/>
  <c r="U29" i="1" s="1"/>
  <c r="P17" i="1"/>
  <c r="CC34" i="1"/>
  <c r="P34" i="1"/>
  <c r="CC30" i="1"/>
  <c r="P30" i="1"/>
  <c r="CC9" i="1"/>
  <c r="CL21" i="1"/>
  <c r="P9" i="1"/>
  <c r="CC44" i="1"/>
  <c r="Q44" i="1" s="1"/>
  <c r="P44" i="1"/>
  <c r="CC21" i="1"/>
  <c r="P21" i="1"/>
  <c r="CC35" i="1"/>
  <c r="P35" i="1"/>
  <c r="CC33" i="1"/>
  <c r="P33" i="1"/>
  <c r="CC16" i="1"/>
  <c r="CL28" i="1"/>
  <c r="U28" i="1" s="1"/>
  <c r="P16" i="1"/>
  <c r="CC18" i="1"/>
  <c r="Q18" i="1" s="1"/>
  <c r="CL30" i="1"/>
  <c r="P18" i="1"/>
  <c r="CC29" i="1"/>
  <c r="Q29" i="1" s="1"/>
  <c r="P29" i="1"/>
  <c r="CC42" i="1"/>
  <c r="P42" i="1"/>
  <c r="CC25" i="1"/>
  <c r="Q25" i="1" s="1"/>
  <c r="P25" i="1"/>
  <c r="CC37" i="1"/>
  <c r="Q37" i="1" s="1"/>
  <c r="P37" i="1"/>
  <c r="CC28" i="1"/>
  <c r="P28" i="1"/>
  <c r="CK33" i="7" l="1"/>
  <c r="T33" i="7" s="1"/>
  <c r="CV38" i="1"/>
  <c r="CW38" i="1" s="1"/>
  <c r="CX38" i="1" s="1"/>
  <c r="CY38" i="1" s="1"/>
  <c r="CZ38" i="1" s="1"/>
  <c r="CO15" i="1"/>
  <c r="CQ14" i="1"/>
  <c r="CR14" i="1" s="1"/>
  <c r="CS14" i="1" s="1"/>
  <c r="CU14" i="1" s="1"/>
  <c r="W14" i="1" s="1"/>
  <c r="AD14" i="8"/>
  <c r="AC15" i="8"/>
  <c r="AD15" i="8" s="1"/>
  <c r="AF27" i="8" s="1"/>
  <c r="T69" i="8"/>
  <c r="DB17" i="8"/>
  <c r="Z16" i="8"/>
  <c r="AB16" i="8" s="1"/>
  <c r="DD16" i="8"/>
  <c r="DE16" i="8" s="1"/>
  <c r="DF16" i="8" s="1"/>
  <c r="DH16" i="8" s="1"/>
  <c r="X16" i="8" s="1"/>
  <c r="AJ16" i="8" s="1"/>
  <c r="U69" i="8"/>
  <c r="AJ15" i="8"/>
  <c r="CK31" i="7"/>
  <c r="T31" i="7" s="1"/>
  <c r="AA10" i="5"/>
  <c r="X12" i="5"/>
  <c r="AA12" i="5" s="1"/>
  <c r="Y24" i="5"/>
  <c r="AB23" i="5"/>
  <c r="CK14" i="7"/>
  <c r="T14" i="7" s="1"/>
  <c r="CK35" i="7"/>
  <c r="T35" i="7" s="1"/>
  <c r="R29" i="1"/>
  <c r="S31" i="1"/>
  <c r="S39" i="1"/>
  <c r="R19" i="1"/>
  <c r="R28" i="1"/>
  <c r="CK40" i="7"/>
  <c r="T40" i="7" s="1"/>
  <c r="CK25" i="7"/>
  <c r="T25" i="7" s="1"/>
  <c r="CK17" i="7"/>
  <c r="T17" i="7" s="1"/>
  <c r="X17" i="7" s="1"/>
  <c r="Z17" i="5" s="1"/>
  <c r="CK23" i="7"/>
  <c r="T23" i="7" s="1"/>
  <c r="X23" i="7" s="1"/>
  <c r="Z23" i="5" s="1"/>
  <c r="X16" i="7"/>
  <c r="Z16" i="5" s="1"/>
  <c r="CK9" i="7"/>
  <c r="T9" i="7" s="1"/>
  <c r="X9" i="7" s="1"/>
  <c r="Z9" i="5" s="1"/>
  <c r="CK26" i="7"/>
  <c r="T26" i="7" s="1"/>
  <c r="CK27" i="7"/>
  <c r="T27" i="7" s="1"/>
  <c r="CK22" i="7"/>
  <c r="T22" i="7" s="1"/>
  <c r="X22" i="7" s="1"/>
  <c r="Z22" i="5" s="1"/>
  <c r="CK28" i="7"/>
  <c r="T28" i="7" s="1"/>
  <c r="X25" i="7"/>
  <c r="Z25" i="5" s="1"/>
  <c r="CK32" i="7"/>
  <c r="T32" i="7" s="1"/>
  <c r="CK38" i="7"/>
  <c r="T38" i="7" s="1"/>
  <c r="CK30" i="7"/>
  <c r="T30" i="7" s="1"/>
  <c r="CK18" i="7"/>
  <c r="T18" i="7" s="1"/>
  <c r="X18" i="7" s="1"/>
  <c r="Z18" i="5" s="1"/>
  <c r="CK11" i="7"/>
  <c r="T11" i="7" s="1"/>
  <c r="X11" i="7" s="1"/>
  <c r="Z11" i="5" s="1"/>
  <c r="AD11" i="5" s="1"/>
  <c r="CK34" i="7"/>
  <c r="T34" i="7" s="1"/>
  <c r="CK44" i="7"/>
  <c r="T44" i="7" s="1"/>
  <c r="CK37" i="7"/>
  <c r="T37" i="7" s="1"/>
  <c r="CK10" i="7"/>
  <c r="T10" i="7" s="1"/>
  <c r="CK20" i="7"/>
  <c r="T20" i="7" s="1"/>
  <c r="X20" i="7" s="1"/>
  <c r="Z20" i="5" s="1"/>
  <c r="CK42" i="7"/>
  <c r="T42" i="7" s="1"/>
  <c r="CK41" i="7"/>
  <c r="T41" i="7" s="1"/>
  <c r="R45" i="7"/>
  <c r="CK19" i="7"/>
  <c r="T19" i="7" s="1"/>
  <c r="X19" i="7" s="1"/>
  <c r="Z19" i="5" s="1"/>
  <c r="CK13" i="7"/>
  <c r="T13" i="7" s="1"/>
  <c r="X13" i="7" s="1"/>
  <c r="Z13" i="5" s="1"/>
  <c r="CK21" i="7"/>
  <c r="T21" i="7" s="1"/>
  <c r="X21" i="7" s="1"/>
  <c r="Z21" i="5" s="1"/>
  <c r="CK12" i="7"/>
  <c r="T12" i="7" s="1"/>
  <c r="X12" i="7" s="1"/>
  <c r="Z12" i="5" s="1"/>
  <c r="CQ26" i="7"/>
  <c r="CR26" i="7" s="1"/>
  <c r="CS26" i="7" s="1"/>
  <c r="CU26" i="7" s="1"/>
  <c r="W26" i="7" s="1"/>
  <c r="CO27" i="7"/>
  <c r="CK15" i="7"/>
  <c r="T15" i="7" s="1"/>
  <c r="X15" i="7" s="1"/>
  <c r="Z15" i="5" s="1"/>
  <c r="X14" i="7"/>
  <c r="Z14" i="5" s="1"/>
  <c r="CK43" i="7"/>
  <c r="T43" i="7" s="1"/>
  <c r="CK24" i="7"/>
  <c r="T24" i="7" s="1"/>
  <c r="X24" i="7" s="1"/>
  <c r="Z24" i="5" s="1"/>
  <c r="CK29" i="7"/>
  <c r="T29" i="7" s="1"/>
  <c r="S45" i="7"/>
  <c r="CK39" i="7"/>
  <c r="T39" i="7" s="1"/>
  <c r="R14" i="5"/>
  <c r="T13" i="5"/>
  <c r="U13" i="5" s="1"/>
  <c r="V13" i="5" s="1"/>
  <c r="W13" i="5" s="1"/>
  <c r="CJ44" i="1"/>
  <c r="CJ26" i="1"/>
  <c r="CJ28" i="1"/>
  <c r="CJ37" i="1"/>
  <c r="CJ41" i="1"/>
  <c r="CJ22" i="1"/>
  <c r="CJ27" i="1"/>
  <c r="CM38" i="1"/>
  <c r="V38" i="1" s="1"/>
  <c r="U37" i="1"/>
  <c r="P45" i="1"/>
  <c r="CJ39" i="1"/>
  <c r="CJ36" i="1"/>
  <c r="CJ42" i="1"/>
  <c r="CJ32" i="1"/>
  <c r="CJ38" i="1"/>
  <c r="CJ40" i="1"/>
  <c r="CJ34" i="1"/>
  <c r="CJ23" i="1"/>
  <c r="Q42" i="1"/>
  <c r="Q34" i="1"/>
  <c r="U27" i="1"/>
  <c r="CM29" i="1"/>
  <c r="V29" i="1" s="1"/>
  <c r="Q24" i="1"/>
  <c r="Q19" i="1"/>
  <c r="Q36" i="1"/>
  <c r="CM26" i="1"/>
  <c r="V26" i="1" s="1"/>
  <c r="U25" i="1"/>
  <c r="Q23" i="1"/>
  <c r="Q10" i="1"/>
  <c r="R39" i="1"/>
  <c r="Q33" i="1"/>
  <c r="U42" i="1"/>
  <c r="CM44" i="1"/>
  <c r="V44" i="1" s="1"/>
  <c r="Q20" i="1"/>
  <c r="Q11" i="1"/>
  <c r="CJ24" i="1"/>
  <c r="CJ21" i="1"/>
  <c r="CJ43" i="1"/>
  <c r="Q21" i="1"/>
  <c r="CM23" i="1"/>
  <c r="V23" i="1" s="1"/>
  <c r="U21" i="1"/>
  <c r="Q30" i="1"/>
  <c r="U39" i="1"/>
  <c r="CM41" i="1"/>
  <c r="V41" i="1" s="1"/>
  <c r="Q12" i="1"/>
  <c r="Q41" i="1"/>
  <c r="Q31" i="1"/>
  <c r="Q40" i="1"/>
  <c r="Q28" i="1"/>
  <c r="CM35" i="1"/>
  <c r="V35" i="1" s="1"/>
  <c r="U33" i="1"/>
  <c r="CJ25" i="1"/>
  <c r="CJ29" i="1"/>
  <c r="CJ35" i="1"/>
  <c r="R17" i="1"/>
  <c r="CJ31" i="1"/>
  <c r="R15" i="1"/>
  <c r="CJ33" i="1"/>
  <c r="CJ30" i="1"/>
  <c r="U30" i="1"/>
  <c r="CM32" i="1"/>
  <c r="V32" i="1" s="1"/>
  <c r="Q16" i="1"/>
  <c r="Q35" i="1"/>
  <c r="Q9" i="1"/>
  <c r="Q39" i="1"/>
  <c r="Q32" i="1"/>
  <c r="Q27" i="1"/>
  <c r="Q38" i="1"/>
  <c r="Q22" i="1"/>
  <c r="S29" i="1" l="1"/>
  <c r="T28" i="1"/>
  <c r="CV39" i="1"/>
  <c r="CW39" i="1" s="1"/>
  <c r="CX39" i="1" s="1"/>
  <c r="CY39" i="1" s="1"/>
  <c r="CZ39" i="1" s="1"/>
  <c r="CQ15" i="1"/>
  <c r="CR15" i="1" s="1"/>
  <c r="CS15" i="1" s="1"/>
  <c r="CU15" i="1" s="1"/>
  <c r="W15" i="1" s="1"/>
  <c r="CO16" i="1"/>
  <c r="AD12" i="5"/>
  <c r="AC16" i="8"/>
  <c r="AE15" i="8"/>
  <c r="AF26" i="8"/>
  <c r="AE14" i="8"/>
  <c r="DB18" i="8"/>
  <c r="Z17" i="8"/>
  <c r="AB17" i="8" s="1"/>
  <c r="DD17" i="8"/>
  <c r="DE17" i="8" s="1"/>
  <c r="DF17" i="8" s="1"/>
  <c r="DH17" i="8" s="1"/>
  <c r="X17" i="8" s="1"/>
  <c r="AJ17" i="8" s="1"/>
  <c r="X13" i="5"/>
  <c r="Y25" i="5"/>
  <c r="AD9" i="5"/>
  <c r="T29" i="1"/>
  <c r="R31" i="1"/>
  <c r="S19" i="1"/>
  <c r="S15" i="1"/>
  <c r="T17" i="1"/>
  <c r="X26" i="7"/>
  <c r="Z26" i="5" s="1"/>
  <c r="T45" i="7"/>
  <c r="X10" i="7"/>
  <c r="CO28" i="7"/>
  <c r="CQ27" i="7"/>
  <c r="CR27" i="7" s="1"/>
  <c r="CS27" i="7" s="1"/>
  <c r="CU27" i="7" s="1"/>
  <c r="W27" i="7" s="1"/>
  <c r="X27" i="7" s="1"/>
  <c r="Z27" i="5" s="1"/>
  <c r="R15" i="5"/>
  <c r="T14" i="5"/>
  <c r="U14" i="5" s="1"/>
  <c r="V14" i="5" s="1"/>
  <c r="W14" i="5" s="1"/>
  <c r="T31" i="1"/>
  <c r="R34" i="1"/>
  <c r="S34" i="1"/>
  <c r="R20" i="1"/>
  <c r="R42" i="1"/>
  <c r="S42" i="1"/>
  <c r="R32" i="1"/>
  <c r="S32" i="1"/>
  <c r="R23" i="1"/>
  <c r="S23" i="1"/>
  <c r="R22" i="1"/>
  <c r="S22" i="1"/>
  <c r="R21" i="1"/>
  <c r="R43" i="1"/>
  <c r="R25" i="1"/>
  <c r="S25" i="1"/>
  <c r="R38" i="1"/>
  <c r="S38" i="1"/>
  <c r="R36" i="1"/>
  <c r="S36" i="1"/>
  <c r="R27" i="1"/>
  <c r="R41" i="1"/>
  <c r="Q45" i="1"/>
  <c r="R14" i="1"/>
  <c r="V45" i="1"/>
  <c r="R12" i="1"/>
  <c r="R40" i="1"/>
  <c r="R37" i="1"/>
  <c r="S37" i="1"/>
  <c r="R33" i="1"/>
  <c r="S33" i="1"/>
  <c r="R35" i="1"/>
  <c r="S35" i="1"/>
  <c r="R16" i="1"/>
  <c r="R9" i="1"/>
  <c r="R30" i="1"/>
  <c r="S30" i="1"/>
  <c r="R26" i="1"/>
  <c r="S26" i="1"/>
  <c r="R44" i="1"/>
  <c r="T15" i="1"/>
  <c r="T39" i="1"/>
  <c r="R24" i="1"/>
  <c r="S24" i="1"/>
  <c r="R11" i="1"/>
  <c r="R18" i="1"/>
  <c r="U45" i="1"/>
  <c r="R13" i="1"/>
  <c r="R10" i="1"/>
  <c r="S28" i="1" l="1"/>
  <c r="CV40" i="1"/>
  <c r="CW40" i="1" s="1"/>
  <c r="CX40" i="1" s="1"/>
  <c r="CY40" i="1" s="1"/>
  <c r="CZ40" i="1" s="1"/>
  <c r="CO17" i="1"/>
  <c r="CQ16" i="1"/>
  <c r="CR16" i="1" s="1"/>
  <c r="CS16" i="1" s="1"/>
  <c r="CU16" i="1" s="1"/>
  <c r="W16" i="1" s="1"/>
  <c r="AC17" i="8"/>
  <c r="AD17" i="8" s="1"/>
  <c r="AF29" i="8" s="1"/>
  <c r="AD16" i="8"/>
  <c r="DB19" i="8"/>
  <c r="Z18" i="8"/>
  <c r="AB18" i="8" s="1"/>
  <c r="DD18" i="8"/>
  <c r="DE18" i="8" s="1"/>
  <c r="DF18" i="8" s="1"/>
  <c r="DH18" i="8" s="1"/>
  <c r="X18" i="8" s="1"/>
  <c r="AJ18" i="8" s="1"/>
  <c r="Y26" i="5"/>
  <c r="AB26" i="5" s="1"/>
  <c r="X14" i="5"/>
  <c r="AA14" i="5" s="1"/>
  <c r="AA13" i="5"/>
  <c r="AA9" i="7"/>
  <c r="Z10" i="5"/>
  <c r="T19" i="1"/>
  <c r="S17" i="1"/>
  <c r="T33" i="1"/>
  <c r="T38" i="1"/>
  <c r="T22" i="1"/>
  <c r="T34" i="1"/>
  <c r="T36" i="1"/>
  <c r="X15" i="1"/>
  <c r="T35" i="1"/>
  <c r="T32" i="1"/>
  <c r="AA12" i="7"/>
  <c r="AA11" i="7"/>
  <c r="CO29" i="7"/>
  <c r="CQ28" i="7"/>
  <c r="CR28" i="7" s="1"/>
  <c r="CS28" i="7" s="1"/>
  <c r="CU28" i="7" s="1"/>
  <c r="W28" i="7" s="1"/>
  <c r="X28" i="7" s="1"/>
  <c r="Z28" i="5" s="1"/>
  <c r="AA10" i="7"/>
  <c r="R16" i="5"/>
  <c r="T15" i="5"/>
  <c r="U15" i="5" s="1"/>
  <c r="V15" i="5" s="1"/>
  <c r="W15" i="5" s="1"/>
  <c r="T23" i="1"/>
  <c r="T30" i="1"/>
  <c r="T42" i="1"/>
  <c r="T10" i="1"/>
  <c r="S10" i="1"/>
  <c r="T18" i="1"/>
  <c r="S18" i="1"/>
  <c r="S41" i="1"/>
  <c r="T41" i="1"/>
  <c r="S43" i="1"/>
  <c r="T43" i="1"/>
  <c r="S21" i="1"/>
  <c r="T21" i="1"/>
  <c r="T25" i="1"/>
  <c r="T11" i="1"/>
  <c r="S11" i="1"/>
  <c r="T44" i="1"/>
  <c r="S44" i="1"/>
  <c r="R45" i="1"/>
  <c r="T16" i="1"/>
  <c r="S16" i="1"/>
  <c r="T27" i="1"/>
  <c r="S27" i="1"/>
  <c r="T37" i="1"/>
  <c r="T24" i="1"/>
  <c r="T14" i="1"/>
  <c r="S14" i="1"/>
  <c r="T13" i="1"/>
  <c r="S13" i="1"/>
  <c r="T9" i="1"/>
  <c r="S9" i="1"/>
  <c r="S40" i="1"/>
  <c r="T40" i="1"/>
  <c r="T12" i="1"/>
  <c r="S12" i="1"/>
  <c r="S20" i="1"/>
  <c r="T20" i="1"/>
  <c r="T26" i="1"/>
  <c r="CV41" i="1" l="1"/>
  <c r="CW41" i="1" s="1"/>
  <c r="CX41" i="1" s="1"/>
  <c r="CY41" i="1" s="1"/>
  <c r="CZ41" i="1" s="1"/>
  <c r="CO18" i="1"/>
  <c r="CQ17" i="1"/>
  <c r="CR17" i="1" s="1"/>
  <c r="CS17" i="1" s="1"/>
  <c r="CU17" i="1" s="1"/>
  <c r="W17" i="1" s="1"/>
  <c r="X17" i="1" s="1"/>
  <c r="AD14" i="5"/>
  <c r="AF28" i="8"/>
  <c r="AE16" i="8"/>
  <c r="AE17" i="8"/>
  <c r="AC18" i="8"/>
  <c r="AD18" i="8" s="1"/>
  <c r="DB20" i="8"/>
  <c r="Z19" i="8"/>
  <c r="AB19" i="8" s="1"/>
  <c r="DD19" i="8"/>
  <c r="DE19" i="8" s="1"/>
  <c r="DF19" i="8" s="1"/>
  <c r="DH19" i="8" s="1"/>
  <c r="X19" i="8" s="1"/>
  <c r="AJ19" i="8" s="1"/>
  <c r="Y27" i="5"/>
  <c r="X15" i="5"/>
  <c r="AD13" i="5"/>
  <c r="AD10" i="5"/>
  <c r="X14" i="1"/>
  <c r="CQ29" i="7"/>
  <c r="CR29" i="7" s="1"/>
  <c r="CS29" i="7" s="1"/>
  <c r="CU29" i="7" s="1"/>
  <c r="W29" i="7" s="1"/>
  <c r="X29" i="7" s="1"/>
  <c r="Z29" i="5" s="1"/>
  <c r="CO30" i="7"/>
  <c r="R17" i="5"/>
  <c r="T16" i="5"/>
  <c r="U16" i="5" s="1"/>
  <c r="V16" i="5" s="1"/>
  <c r="W16" i="5" s="1"/>
  <c r="X13" i="1"/>
  <c r="X11" i="1"/>
  <c r="T45" i="1"/>
  <c r="X16" i="1"/>
  <c r="X10" i="1"/>
  <c r="X12" i="1"/>
  <c r="S45" i="1"/>
  <c r="X9" i="1"/>
  <c r="CV42" i="1" l="1"/>
  <c r="CW42" i="1" s="1"/>
  <c r="CX42" i="1" s="1"/>
  <c r="CY42" i="1" s="1"/>
  <c r="CZ42" i="1" s="1"/>
  <c r="CO19" i="1"/>
  <c r="CQ18" i="1"/>
  <c r="CR18" i="1" s="1"/>
  <c r="CS18" i="1" s="1"/>
  <c r="CU18" i="1" s="1"/>
  <c r="W18" i="1" s="1"/>
  <c r="X18" i="1" s="1"/>
  <c r="AE18" i="8"/>
  <c r="AF30" i="8"/>
  <c r="AC19" i="8"/>
  <c r="AD19" i="8" s="1"/>
  <c r="DB21" i="8"/>
  <c r="Z20" i="8"/>
  <c r="AB20" i="8" s="1"/>
  <c r="DD20" i="8"/>
  <c r="DE20" i="8" s="1"/>
  <c r="DF20" i="8" s="1"/>
  <c r="DH20" i="8" s="1"/>
  <c r="X20" i="8" s="1"/>
  <c r="AJ20" i="8" s="1"/>
  <c r="C36" i="8" s="1"/>
  <c r="D36" i="8" s="1"/>
  <c r="X16" i="5"/>
  <c r="AA16" i="5" s="1"/>
  <c r="AD16" i="5" s="1"/>
  <c r="Y28" i="5"/>
  <c r="AI10" i="5"/>
  <c r="AI9" i="5"/>
  <c r="AA15" i="5"/>
  <c r="CQ30" i="7"/>
  <c r="CR30" i="7" s="1"/>
  <c r="CS30" i="7" s="1"/>
  <c r="CU30" i="7" s="1"/>
  <c r="W30" i="7" s="1"/>
  <c r="X30" i="7" s="1"/>
  <c r="Z30" i="5" s="1"/>
  <c r="CO31" i="7"/>
  <c r="T17" i="5"/>
  <c r="U17" i="5" s="1"/>
  <c r="V17" i="5" s="1"/>
  <c r="W17" i="5" s="1"/>
  <c r="R18" i="5"/>
  <c r="AA9" i="1"/>
  <c r="AA10" i="1"/>
  <c r="CV43" i="1" l="1"/>
  <c r="CW43" i="1" s="1"/>
  <c r="CX43" i="1" s="1"/>
  <c r="CY43" i="1" s="1"/>
  <c r="CZ43" i="1" s="1"/>
  <c r="CO20" i="1"/>
  <c r="CQ19" i="1"/>
  <c r="CR19" i="1" s="1"/>
  <c r="CS19" i="1" s="1"/>
  <c r="CU19" i="1" s="1"/>
  <c r="W19" i="1" s="1"/>
  <c r="X19" i="1" s="1"/>
  <c r="AE19" i="8"/>
  <c r="AF31" i="8"/>
  <c r="AC20" i="8"/>
  <c r="AD20" i="8" s="1"/>
  <c r="AF32" i="8" s="1"/>
  <c r="Z21" i="8"/>
  <c r="AB21" i="8" s="1"/>
  <c r="AC21" i="8" s="1"/>
  <c r="AD21" i="8" s="1"/>
  <c r="DJ21" i="8"/>
  <c r="AG21" i="8" s="1"/>
  <c r="DB22" i="8"/>
  <c r="DD21" i="8"/>
  <c r="DE21" i="8" s="1"/>
  <c r="DF21" i="8" s="1"/>
  <c r="X17" i="5"/>
  <c r="Y29" i="5"/>
  <c r="AB29" i="5" s="1"/>
  <c r="AD15" i="5"/>
  <c r="CO32" i="7"/>
  <c r="CQ31" i="7"/>
  <c r="CR31" i="7" s="1"/>
  <c r="CS31" i="7" s="1"/>
  <c r="CU31" i="7" s="1"/>
  <c r="W31" i="7" s="1"/>
  <c r="X31" i="7" s="1"/>
  <c r="Z31" i="5" s="1"/>
  <c r="R19" i="5"/>
  <c r="T18" i="5"/>
  <c r="U18" i="5" s="1"/>
  <c r="V18" i="5" s="1"/>
  <c r="W18" i="5" s="1"/>
  <c r="CV44" i="1" l="1"/>
  <c r="CW44" i="1" s="1"/>
  <c r="CX44" i="1" s="1"/>
  <c r="CY44" i="1" s="1"/>
  <c r="CZ44" i="1" s="1"/>
  <c r="CQ20" i="1"/>
  <c r="CR20" i="1" s="1"/>
  <c r="CS20" i="1" s="1"/>
  <c r="CU20" i="1" s="1"/>
  <c r="W20" i="1" s="1"/>
  <c r="X20" i="1" s="1"/>
  <c r="AA11" i="1" s="1"/>
  <c r="CO21" i="1"/>
  <c r="AE21" i="8"/>
  <c r="AF33" i="8"/>
  <c r="AE20" i="8"/>
  <c r="DI21" i="8"/>
  <c r="DH21" i="8"/>
  <c r="Z22" i="8"/>
  <c r="AB22" i="8" s="1"/>
  <c r="AC22" i="8" s="1"/>
  <c r="AD22" i="8" s="1"/>
  <c r="DB23" i="8"/>
  <c r="DJ22" i="8"/>
  <c r="AG22" i="8" s="1"/>
  <c r="DD22" i="8"/>
  <c r="DE22" i="8" s="1"/>
  <c r="DF22" i="8" s="1"/>
  <c r="Y21" i="8"/>
  <c r="X21" i="8"/>
  <c r="Y30" i="5"/>
  <c r="X18" i="5"/>
  <c r="AA18" i="5" s="1"/>
  <c r="AD18" i="5" s="1"/>
  <c r="AA17" i="5"/>
  <c r="CQ32" i="7"/>
  <c r="CR32" i="7" s="1"/>
  <c r="CS32" i="7" s="1"/>
  <c r="CU32" i="7" s="1"/>
  <c r="W32" i="7" s="1"/>
  <c r="X32" i="7" s="1"/>
  <c r="CO33" i="7"/>
  <c r="T19" i="5"/>
  <c r="U19" i="5" s="1"/>
  <c r="V19" i="5" s="1"/>
  <c r="W19" i="5" s="1"/>
  <c r="R20" i="5"/>
  <c r="CO22" i="1" l="1"/>
  <c r="CQ21" i="1"/>
  <c r="CR21" i="1" s="1"/>
  <c r="CS21" i="1" s="1"/>
  <c r="CU21" i="1" s="1"/>
  <c r="W21" i="1" s="1"/>
  <c r="X21" i="1" s="1"/>
  <c r="AJ21" i="8"/>
  <c r="AF34" i="8"/>
  <c r="AE22" i="8"/>
  <c r="Z23" i="8"/>
  <c r="AB23" i="8" s="1"/>
  <c r="AC23" i="8" s="1"/>
  <c r="AD23" i="8" s="1"/>
  <c r="DB24" i="8"/>
  <c r="DJ23" i="8"/>
  <c r="DD23" i="8"/>
  <c r="DE23" i="8" s="1"/>
  <c r="DF23" i="8" s="1"/>
  <c r="DH22" i="8"/>
  <c r="DI22" i="8"/>
  <c r="Y22" i="8" s="1"/>
  <c r="X22" i="8"/>
  <c r="Y31" i="5"/>
  <c r="X19" i="5"/>
  <c r="AA19" i="5" s="1"/>
  <c r="AD19" i="5" s="1"/>
  <c r="AD17" i="5"/>
  <c r="AA13" i="7"/>
  <c r="Z32" i="5"/>
  <c r="CO34" i="7"/>
  <c r="CQ33" i="7"/>
  <c r="CR33" i="7" s="1"/>
  <c r="CS33" i="7" s="1"/>
  <c r="CU33" i="7" s="1"/>
  <c r="W33" i="7" s="1"/>
  <c r="X33" i="7" s="1"/>
  <c r="Z33" i="5" s="1"/>
  <c r="T20" i="5"/>
  <c r="U20" i="5" s="1"/>
  <c r="V20" i="5" s="1"/>
  <c r="W20" i="5" s="1"/>
  <c r="R21" i="5"/>
  <c r="CO23" i="1" l="1"/>
  <c r="CQ22" i="1"/>
  <c r="CR22" i="1" s="1"/>
  <c r="CS22" i="1" s="1"/>
  <c r="CU22" i="1" s="1"/>
  <c r="W22" i="1" s="1"/>
  <c r="X22" i="1" s="1"/>
  <c r="AJ22" i="8"/>
  <c r="AH23" i="8"/>
  <c r="AG23" i="8"/>
  <c r="AF35" i="8"/>
  <c r="AE23" i="8"/>
  <c r="AI23" i="8" s="1"/>
  <c r="X23" i="8"/>
  <c r="DH23" i="8"/>
  <c r="DI23" i="8"/>
  <c r="Y23" i="8" s="1"/>
  <c r="AJ23" i="8" s="1"/>
  <c r="Z24" i="8"/>
  <c r="AB24" i="8" s="1"/>
  <c r="AC24" i="8" s="1"/>
  <c r="AD24" i="8" s="1"/>
  <c r="DB25" i="8"/>
  <c r="DJ24" i="8"/>
  <c r="AG24" i="8" s="1"/>
  <c r="DD24" i="8"/>
  <c r="DE24" i="8" s="1"/>
  <c r="DF24" i="8" s="1"/>
  <c r="X20" i="5"/>
  <c r="AA20" i="5" s="1"/>
  <c r="Y32" i="5"/>
  <c r="AF20" i="5"/>
  <c r="AG20" i="5" s="1"/>
  <c r="CO35" i="7"/>
  <c r="CQ34" i="7"/>
  <c r="CR34" i="7" s="1"/>
  <c r="CS34" i="7" s="1"/>
  <c r="CU34" i="7" s="1"/>
  <c r="W34" i="7" s="1"/>
  <c r="X34" i="7" s="1"/>
  <c r="Z34" i="5" s="1"/>
  <c r="R22" i="5"/>
  <c r="R23" i="5" s="1"/>
  <c r="R24" i="5" s="1"/>
  <c r="R25" i="5" s="1"/>
  <c r="R26" i="5" s="1"/>
  <c r="R27" i="5" s="1"/>
  <c r="R28" i="5" s="1"/>
  <c r="R29" i="5" s="1"/>
  <c r="R30" i="5" s="1"/>
  <c r="R31" i="5" s="1"/>
  <c r="R32" i="5" s="1"/>
  <c r="R33" i="5" s="1"/>
  <c r="R34" i="5" s="1"/>
  <c r="R35" i="5" s="1"/>
  <c r="R36" i="5" s="1"/>
  <c r="R37" i="5" s="1"/>
  <c r="R38" i="5" s="1"/>
  <c r="R39" i="5" s="1"/>
  <c r="R40" i="5" s="1"/>
  <c r="R41" i="5" s="1"/>
  <c r="R42" i="5" s="1"/>
  <c r="R43" i="5" s="1"/>
  <c r="R44" i="5" s="1"/>
  <c r="R45" i="5" s="1"/>
  <c r="T21" i="5"/>
  <c r="CQ23" i="1" l="1"/>
  <c r="CR23" i="1" s="1"/>
  <c r="CS23" i="1" s="1"/>
  <c r="CU23" i="1" s="1"/>
  <c r="W23" i="1" s="1"/>
  <c r="X23" i="1" s="1"/>
  <c r="CO24" i="1"/>
  <c r="AF36" i="8"/>
  <c r="AE24" i="8"/>
  <c r="X24" i="8"/>
  <c r="Z25" i="8"/>
  <c r="AB25" i="8" s="1"/>
  <c r="AC25" i="8" s="1"/>
  <c r="AD25" i="8" s="1"/>
  <c r="DJ25" i="8"/>
  <c r="AG25" i="8" s="1"/>
  <c r="DB26" i="8"/>
  <c r="DD25" i="8"/>
  <c r="DE25" i="8" s="1"/>
  <c r="DF25" i="8" s="1"/>
  <c r="DH24" i="8"/>
  <c r="DI24" i="8"/>
  <c r="Y24" i="8" s="1"/>
  <c r="AB32" i="5"/>
  <c r="T22" i="5"/>
  <c r="U21" i="5"/>
  <c r="V21" i="5" s="1"/>
  <c r="W21" i="5" s="1"/>
  <c r="AD20" i="5"/>
  <c r="CO36" i="7"/>
  <c r="CQ35" i="7"/>
  <c r="CR35" i="7" s="1"/>
  <c r="CS35" i="7" s="1"/>
  <c r="CU35" i="7" s="1"/>
  <c r="W35" i="7" s="1"/>
  <c r="X35" i="7" s="1"/>
  <c r="Z35" i="5" s="1"/>
  <c r="CQ24" i="1" l="1"/>
  <c r="CR24" i="1" s="1"/>
  <c r="CS24" i="1" s="1"/>
  <c r="CU24" i="1" s="1"/>
  <c r="W24" i="1" s="1"/>
  <c r="X24" i="1" s="1"/>
  <c r="CO25" i="1"/>
  <c r="AJ24" i="8"/>
  <c r="AF37" i="8"/>
  <c r="AE25" i="8"/>
  <c r="DH25" i="8"/>
  <c r="DI25" i="8"/>
  <c r="Y25" i="8" s="1"/>
  <c r="Z26" i="8"/>
  <c r="AB26" i="8" s="1"/>
  <c r="AC26" i="8" s="1"/>
  <c r="AD26" i="8" s="1"/>
  <c r="DB27" i="8"/>
  <c r="DJ26" i="8"/>
  <c r="DD26" i="8"/>
  <c r="DE26" i="8" s="1"/>
  <c r="DF26" i="8" s="1"/>
  <c r="X25" i="8"/>
  <c r="T23" i="5"/>
  <c r="U22" i="5"/>
  <c r="V22" i="5" s="1"/>
  <c r="W22" i="5" s="1"/>
  <c r="X21" i="5"/>
  <c r="AA21" i="5" s="1"/>
  <c r="AD21" i="5" s="1"/>
  <c r="Y33" i="5"/>
  <c r="AI11" i="5"/>
  <c r="CO37" i="7"/>
  <c r="CQ36" i="7"/>
  <c r="CR36" i="7" s="1"/>
  <c r="CS36" i="7" s="1"/>
  <c r="CU36" i="7" s="1"/>
  <c r="W36" i="7" s="1"/>
  <c r="X36" i="7" s="1"/>
  <c r="Z36" i="5" s="1"/>
  <c r="CQ25" i="1" l="1"/>
  <c r="CR25" i="1" s="1"/>
  <c r="CS25" i="1" s="1"/>
  <c r="CU25" i="1" s="1"/>
  <c r="W25" i="1" s="1"/>
  <c r="X25" i="1" s="1"/>
  <c r="CO26" i="1"/>
  <c r="AJ25" i="8"/>
  <c r="AH26" i="8"/>
  <c r="AG26" i="8"/>
  <c r="AF38" i="8"/>
  <c r="AE26" i="8"/>
  <c r="AI26" i="8" s="1"/>
  <c r="Z27" i="8"/>
  <c r="AB27" i="8" s="1"/>
  <c r="AC27" i="8" s="1"/>
  <c r="AD27" i="8" s="1"/>
  <c r="DB28" i="8"/>
  <c r="DJ27" i="8"/>
  <c r="AG27" i="8" s="1"/>
  <c r="DD27" i="8"/>
  <c r="DE27" i="8" s="1"/>
  <c r="DF27" i="8" s="1"/>
  <c r="DH26" i="8"/>
  <c r="DI26" i="8"/>
  <c r="Y26" i="8"/>
  <c r="X26" i="8"/>
  <c r="Y34" i="5"/>
  <c r="X22" i="5"/>
  <c r="AA22" i="5" s="1"/>
  <c r="AD22" i="5" s="1"/>
  <c r="T24" i="5"/>
  <c r="U23" i="5"/>
  <c r="V23" i="5" s="1"/>
  <c r="W23" i="5" s="1"/>
  <c r="CO38" i="7"/>
  <c r="CQ37" i="7"/>
  <c r="CR37" i="7" s="1"/>
  <c r="CS37" i="7" s="1"/>
  <c r="CU37" i="7" s="1"/>
  <c r="W37" i="7" s="1"/>
  <c r="X37" i="7" s="1"/>
  <c r="Z37" i="5" s="1"/>
  <c r="CQ26" i="1" l="1"/>
  <c r="CR26" i="1" s="1"/>
  <c r="CS26" i="1" s="1"/>
  <c r="CU26" i="1" s="1"/>
  <c r="W26" i="1" s="1"/>
  <c r="X26" i="1" s="1"/>
  <c r="AA12" i="1" s="1"/>
  <c r="CO27" i="1"/>
  <c r="AJ26" i="8"/>
  <c r="AE27" i="8"/>
  <c r="AF39" i="8"/>
  <c r="X27" i="8"/>
  <c r="DH27" i="8"/>
  <c r="DI27" i="8"/>
  <c r="Y27" i="8" s="1"/>
  <c r="Z28" i="8"/>
  <c r="AB28" i="8" s="1"/>
  <c r="AC28" i="8" s="1"/>
  <c r="AD28" i="8" s="1"/>
  <c r="DB29" i="8"/>
  <c r="DJ28" i="8"/>
  <c r="AG28" i="8" s="1"/>
  <c r="DD28" i="8"/>
  <c r="DE28" i="8" s="1"/>
  <c r="DF28" i="8" s="1"/>
  <c r="Y35" i="5"/>
  <c r="AB35" i="5" s="1"/>
  <c r="X23" i="5"/>
  <c r="AA23" i="5" s="1"/>
  <c r="T25" i="5"/>
  <c r="U24" i="5"/>
  <c r="V24" i="5" s="1"/>
  <c r="W24" i="5" s="1"/>
  <c r="CO39" i="7"/>
  <c r="CQ38" i="7"/>
  <c r="CR38" i="7" s="1"/>
  <c r="CS38" i="7" s="1"/>
  <c r="CU38" i="7" s="1"/>
  <c r="W38" i="7" s="1"/>
  <c r="X38" i="7" s="1"/>
  <c r="Z38" i="5" s="1"/>
  <c r="CO28" i="1" l="1"/>
  <c r="CQ27" i="1"/>
  <c r="CR27" i="1" s="1"/>
  <c r="CS27" i="1" s="1"/>
  <c r="CU27" i="1" s="1"/>
  <c r="W27" i="1" s="1"/>
  <c r="X27" i="1" s="1"/>
  <c r="AJ27" i="8"/>
  <c r="AF40" i="8"/>
  <c r="AE28" i="8"/>
  <c r="X28" i="8"/>
  <c r="Z29" i="8"/>
  <c r="AB29" i="8" s="1"/>
  <c r="AC29" i="8" s="1"/>
  <c r="AD29" i="8" s="1"/>
  <c r="DJ29" i="8"/>
  <c r="DB30" i="8"/>
  <c r="DD29" i="8"/>
  <c r="DE29" i="8" s="1"/>
  <c r="DF29" i="8" s="1"/>
  <c r="DH28" i="8"/>
  <c r="DI28" i="8"/>
  <c r="Y28" i="8" s="1"/>
  <c r="AJ28" i="8" s="1"/>
  <c r="X24" i="5"/>
  <c r="AA24" i="5" s="1"/>
  <c r="AD24" i="5" s="1"/>
  <c r="Y36" i="5"/>
  <c r="AD23" i="5"/>
  <c r="T26" i="5"/>
  <c r="U25" i="5"/>
  <c r="V25" i="5" s="1"/>
  <c r="W25" i="5" s="1"/>
  <c r="CO40" i="7"/>
  <c r="CQ39" i="7"/>
  <c r="CR39" i="7" s="1"/>
  <c r="CS39" i="7" s="1"/>
  <c r="CU39" i="7" s="1"/>
  <c r="W39" i="7" s="1"/>
  <c r="X39" i="7" s="1"/>
  <c r="Z39" i="5" s="1"/>
  <c r="CQ28" i="1" l="1"/>
  <c r="CR28" i="1" s="1"/>
  <c r="CS28" i="1" s="1"/>
  <c r="CU28" i="1" s="1"/>
  <c r="W28" i="1" s="1"/>
  <c r="X28" i="1" s="1"/>
  <c r="CO29" i="1"/>
  <c r="AE29" i="8"/>
  <c r="AI29" i="8" s="1"/>
  <c r="AF41" i="8"/>
  <c r="AH29" i="8"/>
  <c r="AG29" i="8"/>
  <c r="X29" i="8"/>
  <c r="AJ29" i="8" s="1"/>
  <c r="DH29" i="8"/>
  <c r="DI29" i="8"/>
  <c r="Y29" i="8" s="1"/>
  <c r="Z30" i="8"/>
  <c r="AB30" i="8" s="1"/>
  <c r="AC30" i="8" s="1"/>
  <c r="AD30" i="8" s="1"/>
  <c r="DJ30" i="8"/>
  <c r="AG30" i="8" s="1"/>
  <c r="DB31" i="8"/>
  <c r="DD30" i="8"/>
  <c r="DE30" i="8" s="1"/>
  <c r="DF30" i="8" s="1"/>
  <c r="T27" i="5"/>
  <c r="U26" i="5"/>
  <c r="V26" i="5" s="1"/>
  <c r="W26" i="5" s="1"/>
  <c r="X25" i="5"/>
  <c r="AA25" i="5" s="1"/>
  <c r="AD25" i="5" s="1"/>
  <c r="Y37" i="5"/>
  <c r="CQ40" i="7"/>
  <c r="CR40" i="7" s="1"/>
  <c r="CS40" i="7" s="1"/>
  <c r="CU40" i="7" s="1"/>
  <c r="W40" i="7" s="1"/>
  <c r="X40" i="7" s="1"/>
  <c r="Z40" i="5" s="1"/>
  <c r="CO41" i="7"/>
  <c r="CQ29" i="1" l="1"/>
  <c r="CR29" i="1" s="1"/>
  <c r="CS29" i="1" s="1"/>
  <c r="CU29" i="1" s="1"/>
  <c r="W29" i="1" s="1"/>
  <c r="X29" i="1" s="1"/>
  <c r="CO30" i="1"/>
  <c r="AF42" i="8"/>
  <c r="AE30" i="8"/>
  <c r="Z31" i="8"/>
  <c r="AB31" i="8" s="1"/>
  <c r="AC31" i="8" s="1"/>
  <c r="AD31" i="8" s="1"/>
  <c r="DJ31" i="8"/>
  <c r="AG31" i="8" s="1"/>
  <c r="DB32" i="8"/>
  <c r="DD31" i="8"/>
  <c r="DE31" i="8" s="1"/>
  <c r="DF31" i="8" s="1"/>
  <c r="DH30" i="8"/>
  <c r="DI30" i="8"/>
  <c r="Y30" i="8" s="1"/>
  <c r="X30" i="8"/>
  <c r="T28" i="5"/>
  <c r="U27" i="5"/>
  <c r="V27" i="5" s="1"/>
  <c r="W27" i="5" s="1"/>
  <c r="Y38" i="5"/>
  <c r="AB38" i="5" s="1"/>
  <c r="X26" i="5"/>
  <c r="AA26" i="5" s="1"/>
  <c r="CO42" i="7"/>
  <c r="CQ41" i="7"/>
  <c r="CR41" i="7" s="1"/>
  <c r="CS41" i="7" s="1"/>
  <c r="CU41" i="7" s="1"/>
  <c r="W41" i="7" s="1"/>
  <c r="X41" i="7" s="1"/>
  <c r="Z41" i="5" s="1"/>
  <c r="CQ30" i="1" l="1"/>
  <c r="CR30" i="1" s="1"/>
  <c r="CS30" i="1" s="1"/>
  <c r="CU30" i="1" s="1"/>
  <c r="W30" i="1" s="1"/>
  <c r="X30" i="1" s="1"/>
  <c r="CO31" i="1"/>
  <c r="AJ30" i="8"/>
  <c r="AE31" i="8"/>
  <c r="AF43" i="8"/>
  <c r="Z32" i="8"/>
  <c r="AB32" i="8" s="1"/>
  <c r="AC32" i="8" s="1"/>
  <c r="AD32" i="8" s="1"/>
  <c r="AL32" i="8" s="1"/>
  <c r="AM32" i="8" s="1"/>
  <c r="DJ32" i="8"/>
  <c r="DB33" i="8"/>
  <c r="DD32" i="8"/>
  <c r="DE32" i="8" s="1"/>
  <c r="DF32" i="8" s="1"/>
  <c r="DH31" i="8"/>
  <c r="DI31" i="8"/>
  <c r="Y31" i="8" s="1"/>
  <c r="AJ31" i="8" s="1"/>
  <c r="X31" i="8"/>
  <c r="Y39" i="5"/>
  <c r="X27" i="5"/>
  <c r="AA27" i="5" s="1"/>
  <c r="AD27" i="5" s="1"/>
  <c r="T29" i="5"/>
  <c r="U28" i="5"/>
  <c r="V28" i="5" s="1"/>
  <c r="W28" i="5" s="1"/>
  <c r="AD26" i="5"/>
  <c r="AI12" i="5" s="1"/>
  <c r="CO43" i="7"/>
  <c r="CQ42" i="7"/>
  <c r="CR42" i="7" s="1"/>
  <c r="CS42" i="7" s="1"/>
  <c r="CU42" i="7" s="1"/>
  <c r="W42" i="7" s="1"/>
  <c r="X42" i="7" s="1"/>
  <c r="Z42" i="5" s="1"/>
  <c r="CQ31" i="1" l="1"/>
  <c r="CR31" i="1" s="1"/>
  <c r="CS31" i="1" s="1"/>
  <c r="CU31" i="1" s="1"/>
  <c r="W31" i="1" s="1"/>
  <c r="X31" i="1" s="1"/>
  <c r="CO32" i="1"/>
  <c r="AF44" i="8"/>
  <c r="AE32" i="8"/>
  <c r="AI32" i="8" s="1"/>
  <c r="AG32" i="8"/>
  <c r="AH32" i="8"/>
  <c r="DJ33" i="8"/>
  <c r="X32" i="8"/>
  <c r="DH32" i="8"/>
  <c r="DI32" i="8"/>
  <c r="Y32" i="8" s="1"/>
  <c r="DB34" i="8"/>
  <c r="Z33" i="8"/>
  <c r="AB33" i="8" s="1"/>
  <c r="AC33" i="8" s="1"/>
  <c r="AD33" i="8" s="1"/>
  <c r="DD33" i="8"/>
  <c r="DE33" i="8" s="1"/>
  <c r="DF33" i="8" s="1"/>
  <c r="X28" i="5"/>
  <c r="AA28" i="5" s="1"/>
  <c r="AD28" i="5" s="1"/>
  <c r="Y40" i="5"/>
  <c r="T30" i="5"/>
  <c r="U29" i="5"/>
  <c r="V29" i="5" s="1"/>
  <c r="W29" i="5" s="1"/>
  <c r="CQ43" i="7"/>
  <c r="CR43" i="7" s="1"/>
  <c r="CS43" i="7" s="1"/>
  <c r="CU43" i="7" s="1"/>
  <c r="W43" i="7" s="1"/>
  <c r="X43" i="7" s="1"/>
  <c r="Z43" i="5" s="1"/>
  <c r="CO44" i="7"/>
  <c r="CQ44" i="7" s="1"/>
  <c r="CR44" i="7" s="1"/>
  <c r="CS44" i="7" s="1"/>
  <c r="CU44" i="7" s="1"/>
  <c r="W44" i="7" s="1"/>
  <c r="CO33" i="1" l="1"/>
  <c r="CQ32" i="1"/>
  <c r="CR32" i="1" s="1"/>
  <c r="CS32" i="1" s="1"/>
  <c r="CU32" i="1" s="1"/>
  <c r="W32" i="1" s="1"/>
  <c r="X32" i="1" s="1"/>
  <c r="AA13" i="1" s="1"/>
  <c r="AJ32" i="8"/>
  <c r="C37" i="8" s="1"/>
  <c r="D37" i="8" s="1"/>
  <c r="AE33" i="8"/>
  <c r="AG33" i="8" s="1"/>
  <c r="AF45" i="8"/>
  <c r="DH33" i="8"/>
  <c r="DI33" i="8"/>
  <c r="DB35" i="8"/>
  <c r="Z34" i="8"/>
  <c r="AB34" i="8" s="1"/>
  <c r="AC34" i="8" s="1"/>
  <c r="AD34" i="8" s="1"/>
  <c r="DD34" i="8"/>
  <c r="DE34" i="8" s="1"/>
  <c r="DF34" i="8" s="1"/>
  <c r="DJ34" i="8"/>
  <c r="Y33" i="8"/>
  <c r="AJ33" i="8" s="1"/>
  <c r="X33" i="8"/>
  <c r="X29" i="5"/>
  <c r="AA29" i="5" s="1"/>
  <c r="Y41" i="5"/>
  <c r="AB41" i="5" s="1"/>
  <c r="T31" i="5"/>
  <c r="U30" i="5"/>
  <c r="V30" i="5" s="1"/>
  <c r="W30" i="5" s="1"/>
  <c r="W45" i="7"/>
  <c r="X44" i="7"/>
  <c r="CQ33" i="1" l="1"/>
  <c r="CR33" i="1" s="1"/>
  <c r="CS33" i="1" s="1"/>
  <c r="CU33" i="1" s="1"/>
  <c r="W33" i="1" s="1"/>
  <c r="X33" i="1" s="1"/>
  <c r="CO34" i="1"/>
  <c r="AF46" i="8"/>
  <c r="AE34" i="8"/>
  <c r="AG34" i="8" s="1"/>
  <c r="DB36" i="8"/>
  <c r="Z35" i="8"/>
  <c r="AB35" i="8" s="1"/>
  <c r="AC35" i="8" s="1"/>
  <c r="AD35" i="8" s="1"/>
  <c r="DD35" i="8"/>
  <c r="DE35" i="8" s="1"/>
  <c r="DF35" i="8" s="1"/>
  <c r="Y34" i="8"/>
  <c r="X34" i="8"/>
  <c r="DJ35" i="8"/>
  <c r="DH34" i="8"/>
  <c r="DI34" i="8"/>
  <c r="AD29" i="5"/>
  <c r="Y42" i="5"/>
  <c r="X30" i="5"/>
  <c r="AA30" i="5" s="1"/>
  <c r="AD30" i="5" s="1"/>
  <c r="T32" i="5"/>
  <c r="U31" i="5"/>
  <c r="V31" i="5" s="1"/>
  <c r="W31" i="5" s="1"/>
  <c r="X45" i="7"/>
  <c r="AA14" i="7" s="1"/>
  <c r="Z44" i="5"/>
  <c r="CO35" i="1" l="1"/>
  <c r="CQ34" i="1"/>
  <c r="CR34" i="1" s="1"/>
  <c r="CS34" i="1" s="1"/>
  <c r="CU34" i="1" s="1"/>
  <c r="W34" i="1" s="1"/>
  <c r="X34" i="1" s="1"/>
  <c r="AJ34" i="8"/>
  <c r="AE35" i="8"/>
  <c r="AG35" i="8" s="1"/>
  <c r="AF47" i="8"/>
  <c r="DH35" i="8"/>
  <c r="DI35" i="8"/>
  <c r="Y35" i="8"/>
  <c r="X35" i="8"/>
  <c r="DJ36" i="8"/>
  <c r="DB37" i="8"/>
  <c r="Z36" i="8"/>
  <c r="AB36" i="8" s="1"/>
  <c r="AC36" i="8" s="1"/>
  <c r="AD36" i="8" s="1"/>
  <c r="DD36" i="8"/>
  <c r="DE36" i="8" s="1"/>
  <c r="DF36" i="8" s="1"/>
  <c r="Y43" i="5"/>
  <c r="X31" i="5"/>
  <c r="AA31" i="5" s="1"/>
  <c r="AD31" i="5" s="1"/>
  <c r="T33" i="5"/>
  <c r="U32" i="5"/>
  <c r="V32" i="5" s="1"/>
  <c r="W32" i="5" s="1"/>
  <c r="Z45" i="5"/>
  <c r="CQ35" i="1" l="1"/>
  <c r="CR35" i="1" s="1"/>
  <c r="CO36" i="1"/>
  <c r="AE36" i="8"/>
  <c r="AG36" i="8" s="1"/>
  <c r="AF48" i="8"/>
  <c r="AH35" i="8"/>
  <c r="DB38" i="8"/>
  <c r="Z37" i="8"/>
  <c r="AB37" i="8" s="1"/>
  <c r="AC37" i="8" s="1"/>
  <c r="AD37" i="8" s="1"/>
  <c r="DD37" i="8"/>
  <c r="DE37" i="8" s="1"/>
  <c r="DF37" i="8" s="1"/>
  <c r="DH36" i="8"/>
  <c r="DI36" i="8"/>
  <c r="DJ37" i="8"/>
  <c r="Y36" i="8"/>
  <c r="X36" i="8"/>
  <c r="T34" i="5"/>
  <c r="U33" i="5"/>
  <c r="V33" i="5" s="1"/>
  <c r="W33" i="5" s="1"/>
  <c r="X33" i="5" s="1"/>
  <c r="AA33" i="5" s="1"/>
  <c r="AD33" i="5" s="1"/>
  <c r="X32" i="5"/>
  <c r="AA32" i="5" s="1"/>
  <c r="Y44" i="5"/>
  <c r="AF32" i="5"/>
  <c r="AG32" i="5" s="1"/>
  <c r="CQ36" i="1" l="1"/>
  <c r="CR36" i="1" s="1"/>
  <c r="CO37" i="1"/>
  <c r="CS35" i="1"/>
  <c r="CU35" i="1" s="1"/>
  <c r="W35" i="1" s="1"/>
  <c r="X35" i="1" s="1"/>
  <c r="AD32" i="5"/>
  <c r="AI13" i="5" s="1"/>
  <c r="AJ35" i="8"/>
  <c r="AJ36" i="8"/>
  <c r="AF49" i="8"/>
  <c r="AE37" i="8"/>
  <c r="AG37" i="8" s="1"/>
  <c r="DH37" i="8"/>
  <c r="DI37" i="8"/>
  <c r="DJ38" i="8"/>
  <c r="Y37" i="8"/>
  <c r="X37" i="8"/>
  <c r="DB39" i="8"/>
  <c r="Z38" i="8"/>
  <c r="AB38" i="8" s="1"/>
  <c r="AC38" i="8" s="1"/>
  <c r="AD38" i="8" s="1"/>
  <c r="DD38" i="8"/>
  <c r="DE38" i="8" s="1"/>
  <c r="DF38" i="8" s="1"/>
  <c r="AB44" i="5"/>
  <c r="AB45" i="5" s="1"/>
  <c r="Y45" i="5"/>
  <c r="T35" i="5"/>
  <c r="U34" i="5"/>
  <c r="V34" i="5" s="1"/>
  <c r="W34" i="5" s="1"/>
  <c r="X34" i="5" s="1"/>
  <c r="AA34" i="5" s="1"/>
  <c r="AD34" i="5" s="1"/>
  <c r="CQ37" i="1" l="1"/>
  <c r="CR37" i="1" s="1"/>
  <c r="CO38" i="1"/>
  <c r="W36" i="1"/>
  <c r="X36" i="1" s="1"/>
  <c r="CS36" i="1"/>
  <c r="CU36" i="1" s="1"/>
  <c r="AJ37" i="8"/>
  <c r="AF50" i="8"/>
  <c r="AE38" i="8"/>
  <c r="AG38" i="8" s="1"/>
  <c r="Y38" i="8"/>
  <c r="X38" i="8"/>
  <c r="DJ39" i="8"/>
  <c r="DB40" i="8"/>
  <c r="Z39" i="8"/>
  <c r="AB39" i="8" s="1"/>
  <c r="AC39" i="8" s="1"/>
  <c r="AD39" i="8" s="1"/>
  <c r="DD39" i="8"/>
  <c r="DE39" i="8" s="1"/>
  <c r="DF39" i="8" s="1"/>
  <c r="DH38" i="8"/>
  <c r="DI38" i="8"/>
  <c r="T36" i="5"/>
  <c r="U35" i="5"/>
  <c r="V35" i="5" s="1"/>
  <c r="W35" i="5" s="1"/>
  <c r="CQ38" i="1" l="1"/>
  <c r="CR38" i="1" s="1"/>
  <c r="CO39" i="1"/>
  <c r="CS37" i="1"/>
  <c r="CU37" i="1" s="1"/>
  <c r="W37" i="1" s="1"/>
  <c r="X37" i="1" s="1"/>
  <c r="AJ38" i="8"/>
  <c r="AH38" i="8"/>
  <c r="AE39" i="8"/>
  <c r="AG39" i="8" s="1"/>
  <c r="AF51" i="8"/>
  <c r="Y39" i="8"/>
  <c r="X39" i="8"/>
  <c r="DJ40" i="8"/>
  <c r="DB41" i="8"/>
  <c r="Z40" i="8"/>
  <c r="AB40" i="8" s="1"/>
  <c r="AC40" i="8" s="1"/>
  <c r="AD40" i="8" s="1"/>
  <c r="DD40" i="8"/>
  <c r="DE40" i="8" s="1"/>
  <c r="DF40" i="8" s="1"/>
  <c r="DH39" i="8"/>
  <c r="DI39" i="8"/>
  <c r="X35" i="5"/>
  <c r="AA35" i="5" s="1"/>
  <c r="T37" i="5"/>
  <c r="U36" i="5"/>
  <c r="V36" i="5" s="1"/>
  <c r="W36" i="5" s="1"/>
  <c r="CQ39" i="1" l="1"/>
  <c r="CR39" i="1" s="1"/>
  <c r="CO40" i="1"/>
  <c r="CS38" i="1"/>
  <c r="CU38" i="1" s="1"/>
  <c r="W38" i="1" s="1"/>
  <c r="X38" i="1" s="1"/>
  <c r="AJ39" i="8"/>
  <c r="AF52" i="8"/>
  <c r="AE40" i="8"/>
  <c r="AG40" i="8" s="1"/>
  <c r="DB42" i="8"/>
  <c r="Z41" i="8"/>
  <c r="AB41" i="8" s="1"/>
  <c r="AC41" i="8" s="1"/>
  <c r="AD41" i="8" s="1"/>
  <c r="DD41" i="8"/>
  <c r="DE41" i="8" s="1"/>
  <c r="DF41" i="8" s="1"/>
  <c r="DH40" i="8"/>
  <c r="DI40" i="8"/>
  <c r="DJ41" i="8"/>
  <c r="Y40" i="8"/>
  <c r="X40" i="8"/>
  <c r="X36" i="5"/>
  <c r="AA36" i="5" s="1"/>
  <c r="AD36" i="5" s="1"/>
  <c r="T38" i="5"/>
  <c r="U37" i="5"/>
  <c r="V37" i="5" s="1"/>
  <c r="W37" i="5" s="1"/>
  <c r="X37" i="5" s="1"/>
  <c r="AA37" i="5" s="1"/>
  <c r="AD37" i="5" s="1"/>
  <c r="AD35" i="5"/>
  <c r="CQ40" i="1" l="1"/>
  <c r="CR40" i="1" s="1"/>
  <c r="CS40" i="1" s="1"/>
  <c r="CO41" i="1"/>
  <c r="CS39" i="1"/>
  <c r="CU39" i="1" s="1"/>
  <c r="W39" i="1" s="1"/>
  <c r="X39" i="1" s="1"/>
  <c r="AJ40" i="8"/>
  <c r="AF53" i="8"/>
  <c r="AE41" i="8"/>
  <c r="AG41" i="8" s="1"/>
  <c r="DH41" i="8"/>
  <c r="DI41" i="8"/>
  <c r="DJ42" i="8"/>
  <c r="Y41" i="8"/>
  <c r="X41" i="8"/>
  <c r="DB43" i="8"/>
  <c r="Z42" i="8"/>
  <c r="AB42" i="8" s="1"/>
  <c r="AC42" i="8" s="1"/>
  <c r="AD42" i="8" s="1"/>
  <c r="DD42" i="8"/>
  <c r="DE42" i="8" s="1"/>
  <c r="DF42" i="8" s="1"/>
  <c r="T39" i="5"/>
  <c r="U38" i="5"/>
  <c r="V38" i="5" s="1"/>
  <c r="W38" i="5" s="1"/>
  <c r="X38" i="5" s="1"/>
  <c r="AA38" i="5" s="1"/>
  <c r="CQ41" i="1" l="1"/>
  <c r="CR41" i="1" s="1"/>
  <c r="CS41" i="1" s="1"/>
  <c r="CO42" i="1"/>
  <c r="W40" i="1"/>
  <c r="X40" i="1" s="1"/>
  <c r="CU40" i="1"/>
  <c r="AH41" i="8"/>
  <c r="AF54" i="8"/>
  <c r="AE42" i="8"/>
  <c r="AG42" i="8" s="1"/>
  <c r="DH42" i="8"/>
  <c r="DI42" i="8"/>
  <c r="Y42" i="8"/>
  <c r="X42" i="8"/>
  <c r="DJ43" i="8"/>
  <c r="DB44" i="8"/>
  <c r="Z43" i="8"/>
  <c r="AB43" i="8" s="1"/>
  <c r="AC43" i="8" s="1"/>
  <c r="AD43" i="8" s="1"/>
  <c r="DD43" i="8"/>
  <c r="DE43" i="8" s="1"/>
  <c r="DF43" i="8" s="1"/>
  <c r="AD38" i="5"/>
  <c r="T40" i="5"/>
  <c r="U39" i="5"/>
  <c r="V39" i="5" s="1"/>
  <c r="W39" i="5" s="1"/>
  <c r="AJ41" i="8" l="1"/>
  <c r="CQ42" i="1"/>
  <c r="CR42" i="1" s="1"/>
  <c r="CS42" i="1" s="1"/>
  <c r="CO43" i="1"/>
  <c r="CU41" i="1"/>
  <c r="W41" i="1" s="1"/>
  <c r="AJ42" i="8"/>
  <c r="AE43" i="8"/>
  <c r="AG43" i="8" s="1"/>
  <c r="AF55" i="8"/>
  <c r="DH43" i="8"/>
  <c r="DI43" i="8"/>
  <c r="DB45" i="8"/>
  <c r="Z44" i="8"/>
  <c r="AB44" i="8" s="1"/>
  <c r="AC44" i="8" s="1"/>
  <c r="AD44" i="8" s="1"/>
  <c r="AL44" i="8" s="1"/>
  <c r="AM44" i="8" s="1"/>
  <c r="DD44" i="8"/>
  <c r="DE44" i="8" s="1"/>
  <c r="DF44" i="8" s="1"/>
  <c r="Y43" i="8"/>
  <c r="X43" i="8"/>
  <c r="AJ43" i="8" s="1"/>
  <c r="DJ44" i="8"/>
  <c r="X39" i="5"/>
  <c r="AA39" i="5" s="1"/>
  <c r="AD39" i="5" s="1"/>
  <c r="T41" i="5"/>
  <c r="U40" i="5"/>
  <c r="V40" i="5" s="1"/>
  <c r="W40" i="5" s="1"/>
  <c r="X40" i="5" s="1"/>
  <c r="AA40" i="5" s="1"/>
  <c r="AD40" i="5" s="1"/>
  <c r="X41" i="1" l="1"/>
  <c r="CO44" i="1"/>
  <c r="CQ44" i="1" s="1"/>
  <c r="CR44" i="1" s="1"/>
  <c r="CS44" i="1" s="1"/>
  <c r="CQ43" i="1"/>
  <c r="CR43" i="1" s="1"/>
  <c r="CS43" i="1" s="1"/>
  <c r="CU42" i="1"/>
  <c r="W42" i="1" s="1"/>
  <c r="AF56" i="8"/>
  <c r="AE44" i="8"/>
  <c r="AH44" i="8" s="1"/>
  <c r="Y44" i="8"/>
  <c r="DJ45" i="8"/>
  <c r="X44" i="8"/>
  <c r="Z45" i="8"/>
  <c r="AB45" i="8" s="1"/>
  <c r="AC45" i="8" s="1"/>
  <c r="AD45" i="8" s="1"/>
  <c r="DB46" i="8"/>
  <c r="DD45" i="8"/>
  <c r="DE45" i="8" s="1"/>
  <c r="DF45" i="8" s="1"/>
  <c r="DH44" i="8"/>
  <c r="DI44" i="8"/>
  <c r="T42" i="5"/>
  <c r="U41" i="5"/>
  <c r="V41" i="5" s="1"/>
  <c r="W41" i="5" s="1"/>
  <c r="X41" i="5" s="1"/>
  <c r="AA41" i="5" s="1"/>
  <c r="X42" i="1" l="1"/>
  <c r="CU43" i="1"/>
  <c r="W43" i="1" s="1"/>
  <c r="CU44" i="1"/>
  <c r="W44" i="1" s="1"/>
  <c r="X44" i="1" s="1"/>
  <c r="AG44" i="8"/>
  <c r="AF57" i="8"/>
  <c r="AE45" i="8"/>
  <c r="AG45" i="8" s="1"/>
  <c r="DH45" i="8"/>
  <c r="DI45" i="8"/>
  <c r="Y45" i="8"/>
  <c r="DJ46" i="8"/>
  <c r="X45" i="8"/>
  <c r="Z46" i="8"/>
  <c r="AB46" i="8" s="1"/>
  <c r="AC46" i="8" s="1"/>
  <c r="AD46" i="8" s="1"/>
  <c r="DD46" i="8"/>
  <c r="DE46" i="8" s="1"/>
  <c r="DF46" i="8" s="1"/>
  <c r="DB47" i="8"/>
  <c r="AD41" i="5"/>
  <c r="T43" i="5"/>
  <c r="U42" i="5"/>
  <c r="V42" i="5" s="1"/>
  <c r="W42" i="5" s="1"/>
  <c r="X43" i="1" l="1"/>
  <c r="X45" i="1" s="1"/>
  <c r="AA14" i="1" s="1"/>
  <c r="W45" i="1"/>
  <c r="AJ44" i="8"/>
  <c r="C38" i="8" s="1"/>
  <c r="D38" i="8" s="1"/>
  <c r="AJ45" i="8"/>
  <c r="AF58" i="8"/>
  <c r="AE46" i="8"/>
  <c r="AG46" i="8" s="1"/>
  <c r="X46" i="8"/>
  <c r="Y46" i="8"/>
  <c r="DJ47" i="8"/>
  <c r="Z47" i="8"/>
  <c r="AB47" i="8" s="1"/>
  <c r="AC47" i="8" s="1"/>
  <c r="AD47" i="8" s="1"/>
  <c r="DD47" i="8"/>
  <c r="DE47" i="8" s="1"/>
  <c r="DF47" i="8" s="1"/>
  <c r="DB48" i="8"/>
  <c r="DH46" i="8"/>
  <c r="DI46" i="8"/>
  <c r="X42" i="5"/>
  <c r="AA42" i="5" s="1"/>
  <c r="AD42" i="5" s="1"/>
  <c r="T44" i="5"/>
  <c r="U43" i="5"/>
  <c r="V43" i="5" s="1"/>
  <c r="W43" i="5" s="1"/>
  <c r="X43" i="5" s="1"/>
  <c r="AA43" i="5" s="1"/>
  <c r="AD43" i="5" s="1"/>
  <c r="AJ46" i="8" l="1"/>
  <c r="AE47" i="8"/>
  <c r="AF59" i="8"/>
  <c r="X47" i="8"/>
  <c r="Y47" i="8"/>
  <c r="DJ48" i="8"/>
  <c r="Z48" i="8"/>
  <c r="AB48" i="8" s="1"/>
  <c r="AC48" i="8" s="1"/>
  <c r="AD48" i="8" s="1"/>
  <c r="DD48" i="8"/>
  <c r="DE48" i="8" s="1"/>
  <c r="DF48" i="8" s="1"/>
  <c r="DB49" i="8"/>
  <c r="DH47" i="8"/>
  <c r="DI47" i="8"/>
  <c r="T45" i="5"/>
  <c r="U44" i="5"/>
  <c r="V44" i="5" s="1"/>
  <c r="AG47" i="8" l="1"/>
  <c r="AJ47" i="8"/>
  <c r="AH47" i="8"/>
  <c r="AE48" i="8"/>
  <c r="AG48" i="8" s="1"/>
  <c r="AF60" i="8"/>
  <c r="Z49" i="8"/>
  <c r="AB49" i="8" s="1"/>
  <c r="AC49" i="8" s="1"/>
  <c r="AD49" i="8" s="1"/>
  <c r="DD49" i="8"/>
  <c r="DE49" i="8" s="1"/>
  <c r="DF49" i="8" s="1"/>
  <c r="DB50" i="8"/>
  <c r="X48" i="8"/>
  <c r="Y48" i="8"/>
  <c r="AJ48" i="8" s="1"/>
  <c r="DJ49" i="8"/>
  <c r="DH48" i="8"/>
  <c r="DI48" i="8"/>
  <c r="W44" i="5"/>
  <c r="V45" i="5"/>
  <c r="AF61" i="8" l="1"/>
  <c r="AE49" i="8"/>
  <c r="AG49" i="8" s="1"/>
  <c r="Z50" i="8"/>
  <c r="AB50" i="8" s="1"/>
  <c r="AC50" i="8" s="1"/>
  <c r="AD50" i="8" s="1"/>
  <c r="DB51" i="8"/>
  <c r="DD50" i="8"/>
  <c r="DE50" i="8" s="1"/>
  <c r="DF50" i="8" s="1"/>
  <c r="Y49" i="8"/>
  <c r="DJ50" i="8"/>
  <c r="X49" i="8"/>
  <c r="DH49" i="8"/>
  <c r="DI49" i="8"/>
  <c r="X44" i="5"/>
  <c r="W45" i="5"/>
  <c r="AC45" i="5"/>
  <c r="AJ49" i="8" l="1"/>
  <c r="AF62" i="8"/>
  <c r="AE50" i="8"/>
  <c r="AG50" i="8" s="1"/>
  <c r="DH50" i="8"/>
  <c r="DI50" i="8"/>
  <c r="Z51" i="8"/>
  <c r="AB51" i="8" s="1"/>
  <c r="AC51" i="8" s="1"/>
  <c r="AD51" i="8" s="1"/>
  <c r="DB52" i="8"/>
  <c r="DD51" i="8"/>
  <c r="DE51" i="8" s="1"/>
  <c r="DF51" i="8" s="1"/>
  <c r="X50" i="8"/>
  <c r="Y50" i="8"/>
  <c r="DJ51" i="8"/>
  <c r="AA44" i="5"/>
  <c r="X45" i="5"/>
  <c r="AJ50" i="8" l="1"/>
  <c r="AH50" i="8"/>
  <c r="AE51" i="8"/>
  <c r="AG51" i="8" s="1"/>
  <c r="AF63" i="8"/>
  <c r="Z52" i="8"/>
  <c r="AB52" i="8" s="1"/>
  <c r="AC52" i="8" s="1"/>
  <c r="AD52" i="8" s="1"/>
  <c r="DD52" i="8"/>
  <c r="DE52" i="8" s="1"/>
  <c r="DF52" i="8" s="1"/>
  <c r="DB53" i="8"/>
  <c r="Y51" i="8"/>
  <c r="DJ52" i="8"/>
  <c r="X51" i="8"/>
  <c r="DH51" i="8"/>
  <c r="DI51" i="8"/>
  <c r="AA45" i="5"/>
  <c r="AD44" i="5"/>
  <c r="AD45" i="5" s="1"/>
  <c r="AI14" i="5" s="1"/>
  <c r="AJ51" i="8" l="1"/>
  <c r="AF64" i="8"/>
  <c r="AE52" i="8"/>
  <c r="AG52" i="8" s="1"/>
  <c r="DH52" i="8"/>
  <c r="DI52" i="8"/>
  <c r="Z53" i="8"/>
  <c r="AB53" i="8" s="1"/>
  <c r="AC53" i="8" s="1"/>
  <c r="AD53" i="8" s="1"/>
  <c r="DB54" i="8"/>
  <c r="DD53" i="8"/>
  <c r="DE53" i="8" s="1"/>
  <c r="DF53" i="8" s="1"/>
  <c r="X52" i="8"/>
  <c r="Y52" i="8"/>
  <c r="DJ53" i="8"/>
  <c r="AJ52" i="8" l="1"/>
  <c r="AF65" i="8"/>
  <c r="AE53" i="8"/>
  <c r="Z54" i="8"/>
  <c r="AB54" i="8" s="1"/>
  <c r="AC54" i="8" s="1"/>
  <c r="AD54" i="8" s="1"/>
  <c r="DD54" i="8"/>
  <c r="DE54" i="8" s="1"/>
  <c r="DF54" i="8" s="1"/>
  <c r="DB55" i="8"/>
  <c r="Y53" i="8"/>
  <c r="DJ54" i="8"/>
  <c r="X53" i="8"/>
  <c r="DH53" i="8"/>
  <c r="DI53" i="8"/>
  <c r="AG53" i="8" l="1"/>
  <c r="AF66" i="8"/>
  <c r="AE54" i="8"/>
  <c r="AG54" i="8" s="1"/>
  <c r="AH53" i="8"/>
  <c r="Z55" i="8"/>
  <c r="AB55" i="8" s="1"/>
  <c r="AC55" i="8" s="1"/>
  <c r="AD55" i="8" s="1"/>
  <c r="DD55" i="8"/>
  <c r="DE55" i="8" s="1"/>
  <c r="DF55" i="8" s="1"/>
  <c r="DB56" i="8"/>
  <c r="DH54" i="8"/>
  <c r="DI54" i="8"/>
  <c r="X54" i="8"/>
  <c r="Y54" i="8"/>
  <c r="DJ55" i="8"/>
  <c r="AJ53" i="8" l="1"/>
  <c r="AJ54" i="8"/>
  <c r="AE55" i="8"/>
  <c r="AG55" i="8" s="1"/>
  <c r="AF67" i="8"/>
  <c r="X55" i="8"/>
  <c r="Y55" i="8"/>
  <c r="DJ56" i="8"/>
  <c r="Z56" i="8"/>
  <c r="AB56" i="8" s="1"/>
  <c r="AC56" i="8" s="1"/>
  <c r="AD56" i="8" s="1"/>
  <c r="AL56" i="8" s="1"/>
  <c r="AM56" i="8" s="1"/>
  <c r="DB57" i="8"/>
  <c r="DD56" i="8"/>
  <c r="DE56" i="8" s="1"/>
  <c r="DF56" i="8" s="1"/>
  <c r="DH55" i="8"/>
  <c r="DI55" i="8"/>
  <c r="AJ55" i="8" l="1"/>
  <c r="AF68" i="8"/>
  <c r="AF69" i="8" s="1"/>
  <c r="AE56" i="8"/>
  <c r="X56" i="8"/>
  <c r="Y56" i="8"/>
  <c r="DJ57" i="8"/>
  <c r="DH56" i="8"/>
  <c r="DI56" i="8"/>
  <c r="Z57" i="8"/>
  <c r="AB57" i="8" s="1"/>
  <c r="AC57" i="8" s="1"/>
  <c r="AD57" i="8" s="1"/>
  <c r="DD57" i="8"/>
  <c r="DE57" i="8" s="1"/>
  <c r="DF57" i="8" s="1"/>
  <c r="DB58" i="8"/>
  <c r="AG56" i="8" l="1"/>
  <c r="AH56" i="8"/>
  <c r="AE57" i="8"/>
  <c r="AG57" i="8" s="1"/>
  <c r="DH57" i="8"/>
  <c r="DI57" i="8"/>
  <c r="Z58" i="8"/>
  <c r="AB58" i="8" s="1"/>
  <c r="AC58" i="8" s="1"/>
  <c r="AD58" i="8" s="1"/>
  <c r="AE58" i="8" s="1"/>
  <c r="DB59" i="8"/>
  <c r="DD58" i="8"/>
  <c r="DE58" i="8" s="1"/>
  <c r="DF58" i="8" s="1"/>
  <c r="X57" i="8"/>
  <c r="Y57" i="8"/>
  <c r="DJ58" i="8"/>
  <c r="AJ57" i="8" l="1"/>
  <c r="AJ56" i="8"/>
  <c r="C39" i="8" s="1"/>
  <c r="D39" i="8" s="1"/>
  <c r="AG58" i="8"/>
  <c r="X58" i="8"/>
  <c r="Y58" i="8"/>
  <c r="DJ59" i="8"/>
  <c r="Z59" i="8"/>
  <c r="AB59" i="8" s="1"/>
  <c r="AC59" i="8" s="1"/>
  <c r="AD59" i="8" s="1"/>
  <c r="AE59" i="8" s="1"/>
  <c r="AG59" i="8" s="1"/>
  <c r="DB60" i="8"/>
  <c r="DD59" i="8"/>
  <c r="DE59" i="8" s="1"/>
  <c r="DF59" i="8" s="1"/>
  <c r="DH58" i="8"/>
  <c r="DI58" i="8"/>
  <c r="AJ58" i="8" l="1"/>
  <c r="AH59" i="8"/>
  <c r="X59" i="8"/>
  <c r="Y59" i="8"/>
  <c r="DJ60" i="8"/>
  <c r="DH59" i="8"/>
  <c r="DI59" i="8"/>
  <c r="Z60" i="8"/>
  <c r="AB60" i="8" s="1"/>
  <c r="AC60" i="8" s="1"/>
  <c r="AD60" i="8" s="1"/>
  <c r="DD60" i="8"/>
  <c r="DE60" i="8" s="1"/>
  <c r="DF60" i="8" s="1"/>
  <c r="DB61" i="8"/>
  <c r="AJ59" i="8" l="1"/>
  <c r="AE60" i="8"/>
  <c r="AG60" i="8" s="1"/>
  <c r="Z61" i="8"/>
  <c r="AB61" i="8" s="1"/>
  <c r="AC61" i="8" s="1"/>
  <c r="AD61" i="8" s="1"/>
  <c r="AE61" i="8" s="1"/>
  <c r="DB62" i="8"/>
  <c r="DD61" i="8"/>
  <c r="DE61" i="8" s="1"/>
  <c r="DF61" i="8" s="1"/>
  <c r="DH60" i="8"/>
  <c r="DI60" i="8"/>
  <c r="X60" i="8"/>
  <c r="Y60" i="8"/>
  <c r="DJ61" i="8"/>
  <c r="AJ60" i="8" l="1"/>
  <c r="AG61" i="8"/>
  <c r="X61" i="8"/>
  <c r="Y61" i="8"/>
  <c r="DJ62" i="8"/>
  <c r="DH61" i="8"/>
  <c r="DI61" i="8"/>
  <c r="Z62" i="8"/>
  <c r="AB62" i="8" s="1"/>
  <c r="AC62" i="8" s="1"/>
  <c r="AD62" i="8" s="1"/>
  <c r="AE62" i="8" s="1"/>
  <c r="DB63" i="8"/>
  <c r="DD62" i="8"/>
  <c r="DE62" i="8" s="1"/>
  <c r="DF62" i="8" s="1"/>
  <c r="AG62" i="8" l="1"/>
  <c r="AJ61" i="8"/>
  <c r="AH62" i="8"/>
  <c r="DH62" i="8"/>
  <c r="DI62" i="8"/>
  <c r="Z63" i="8"/>
  <c r="AB63" i="8" s="1"/>
  <c r="AC63" i="8" s="1"/>
  <c r="AD63" i="8" s="1"/>
  <c r="DD63" i="8"/>
  <c r="DE63" i="8" s="1"/>
  <c r="DF63" i="8" s="1"/>
  <c r="DB64" i="8"/>
  <c r="X62" i="8"/>
  <c r="Y62" i="8"/>
  <c r="DJ63" i="8"/>
  <c r="AE63" i="8" l="1"/>
  <c r="AG63" i="8" s="1"/>
  <c r="AJ62" i="8"/>
  <c r="X63" i="8"/>
  <c r="Y63" i="8"/>
  <c r="DJ64" i="8"/>
  <c r="DH63" i="8"/>
  <c r="DI63" i="8"/>
  <c r="Z64" i="8"/>
  <c r="AB64" i="8" s="1"/>
  <c r="AC64" i="8" s="1"/>
  <c r="AD64" i="8" s="1"/>
  <c r="AE64" i="8" s="1"/>
  <c r="DB65" i="8"/>
  <c r="DD64" i="8"/>
  <c r="DE64" i="8" s="1"/>
  <c r="DF64" i="8" s="1"/>
  <c r="AJ63" i="8" l="1"/>
  <c r="AG64" i="8"/>
  <c r="DH64" i="8"/>
  <c r="DI64" i="8"/>
  <c r="Z65" i="8"/>
  <c r="AB65" i="8" s="1"/>
  <c r="AC65" i="8" s="1"/>
  <c r="AD65" i="8" s="1"/>
  <c r="DD65" i="8"/>
  <c r="DE65" i="8" s="1"/>
  <c r="DF65" i="8" s="1"/>
  <c r="DB66" i="8"/>
  <c r="X64" i="8"/>
  <c r="Y64" i="8"/>
  <c r="DJ65" i="8"/>
  <c r="AJ64" i="8" l="1"/>
  <c r="AE65" i="8"/>
  <c r="AG65" i="8" s="1"/>
  <c r="Y65" i="8"/>
  <c r="DJ66" i="8"/>
  <c r="X65" i="8"/>
  <c r="DH65" i="8"/>
  <c r="DI65" i="8"/>
  <c r="Z66" i="8"/>
  <c r="AB66" i="8" s="1"/>
  <c r="AC66" i="8" s="1"/>
  <c r="AD66" i="8" s="1"/>
  <c r="DD66" i="8"/>
  <c r="DE66" i="8" s="1"/>
  <c r="DF66" i="8" s="1"/>
  <c r="DB67" i="8"/>
  <c r="AE66" i="8" l="1"/>
  <c r="AG66" i="8" s="1"/>
  <c r="AH65" i="8"/>
  <c r="Z67" i="8"/>
  <c r="AB67" i="8" s="1"/>
  <c r="AC67" i="8" s="1"/>
  <c r="AD67" i="8" s="1"/>
  <c r="AE67" i="8" s="1"/>
  <c r="DB68" i="8"/>
  <c r="DD67" i="8"/>
  <c r="DE67" i="8" s="1"/>
  <c r="DF67" i="8" s="1"/>
  <c r="DH66" i="8"/>
  <c r="DI66" i="8"/>
  <c r="X66" i="8"/>
  <c r="Y66" i="8"/>
  <c r="DJ67" i="8"/>
  <c r="AJ65" i="8" l="1"/>
  <c r="AJ66" i="8"/>
  <c r="AG67" i="8"/>
  <c r="Y67" i="8"/>
  <c r="AJ67" i="8" s="1"/>
  <c r="DJ68" i="8"/>
  <c r="X67" i="8"/>
  <c r="DH67" i="8"/>
  <c r="DI67" i="8"/>
  <c r="DD68" i="8"/>
  <c r="DE68" i="8" s="1"/>
  <c r="DF68" i="8" s="1"/>
  <c r="Z68" i="8"/>
  <c r="Z69" i="8" l="1"/>
  <c r="AB68" i="8"/>
  <c r="AC68" i="8" s="1"/>
  <c r="DH68" i="8"/>
  <c r="DI68" i="8"/>
  <c r="X68" i="8"/>
  <c r="X69" i="8" s="1"/>
  <c r="Y68" i="8"/>
  <c r="Y69" i="8" l="1"/>
  <c r="AD68" i="8"/>
  <c r="AC69" i="8"/>
  <c r="AL68" i="8" l="1"/>
  <c r="AM68" i="8" s="1"/>
  <c r="AI69" i="8"/>
  <c r="AE68" i="8"/>
  <c r="AD69" i="8"/>
  <c r="AE69" i="8" l="1"/>
  <c r="AG68" i="8"/>
  <c r="AH68" i="8"/>
  <c r="AH69" i="8" s="1"/>
  <c r="AG69" i="8" l="1"/>
  <c r="AJ68" i="8"/>
  <c r="AJ69" i="8" l="1"/>
  <c r="C40" i="8"/>
  <c r="D40" i="8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Pamintuan, Lynvel-D</author>
  </authors>
  <commentList>
    <comment ref="Q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Muel:</t>
        </r>
        <r>
          <rPr>
            <sz val="9"/>
            <color indexed="81"/>
            <rFont val="Tahoma"/>
            <family val="2"/>
          </rPr>
          <t xml:space="preserve">
First Year Commission</t>
        </r>
      </text>
    </comment>
    <comment ref="R8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Muel:</t>
        </r>
        <r>
          <rPr>
            <sz val="9"/>
            <color indexed="81"/>
            <rFont val="Tahoma"/>
            <family val="2"/>
          </rPr>
          <t xml:space="preserve">
Premier Production Bonus</t>
        </r>
      </text>
    </comment>
    <comment ref="S8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Muel:</t>
        </r>
        <r>
          <rPr>
            <sz val="9"/>
            <color indexed="81"/>
            <rFont val="Tahoma"/>
            <family val="2"/>
          </rPr>
          <t xml:space="preserve">
Policy Count Bonus. Begins in month 13.</t>
        </r>
      </text>
    </comment>
    <comment ref="T8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Muel:</t>
        </r>
        <r>
          <rPr>
            <sz val="9"/>
            <color indexed="81"/>
            <rFont val="Tahoma"/>
            <family val="2"/>
          </rPr>
          <t xml:space="preserve">
Segmentation Bonus. Begins in month 13.</t>
        </r>
      </text>
    </comment>
    <comment ref="U8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Muel:</t>
        </r>
        <r>
          <rPr>
            <sz val="9"/>
            <color indexed="81"/>
            <rFont val="Tahoma"/>
            <family val="2"/>
          </rPr>
          <t xml:space="preserve">
Renewal Year Commission</t>
        </r>
      </text>
    </comment>
    <comment ref="V8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Muel:</t>
        </r>
        <r>
          <rPr>
            <sz val="9"/>
            <color indexed="81"/>
            <rFont val="Tahoma"/>
            <family val="2"/>
          </rPr>
          <t xml:space="preserve">
Quality Business Bonus</t>
        </r>
      </text>
    </comment>
    <comment ref="W8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Muel:</t>
        </r>
        <r>
          <rPr>
            <sz val="9"/>
            <color indexed="81"/>
            <rFont val="Tahoma"/>
            <family val="2"/>
          </rPr>
          <t xml:space="preserve">
Advisor Referral Program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Pamintuan, Lynvel-D</author>
  </authors>
  <commentList>
    <comment ref="Z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Muel: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>Includes: First Year Commission, Renewal Year Commission, Premier Production Bonus, Segmentation Bonus, Policy Count Bonus and Quality Business Bonus</t>
        </r>
      </text>
    </comment>
    <comment ref="AA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Muel:</t>
        </r>
        <r>
          <rPr>
            <sz val="9"/>
            <color indexed="81"/>
            <rFont val="Tahoma"/>
            <family val="2"/>
          </rPr>
          <t xml:space="preserve">
Unit Manager - Monthly Direct Production Incentive (Override). 30% to 45%</t>
        </r>
      </text>
    </comment>
    <comment ref="AB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Muel:</t>
        </r>
        <r>
          <rPr>
            <sz val="9"/>
            <color indexed="81"/>
            <rFont val="Tahoma"/>
            <family val="2"/>
          </rPr>
          <t xml:space="preserve">
Quality Business Bonus</t>
        </r>
      </text>
    </comment>
    <comment ref="AC8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Muel:</t>
        </r>
        <r>
          <rPr>
            <sz val="9"/>
            <color indexed="81"/>
            <rFont val="Tahoma"/>
            <family val="2"/>
          </rPr>
          <t xml:space="preserve">
Target Achievement Bonus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Pamintuan, Lynvel-D</author>
  </authors>
  <commentList>
    <comment ref="R8" authorId="0" shapeId="0" xr:uid="{3D2A363B-6073-46B0-90EB-809509A396E3}">
      <text>
        <r>
          <rPr>
            <b/>
            <sz val="9"/>
            <color indexed="81"/>
            <rFont val="Tahoma"/>
            <family val="2"/>
          </rPr>
          <t>Muel:</t>
        </r>
        <r>
          <rPr>
            <sz val="9"/>
            <color indexed="81"/>
            <rFont val="Tahoma"/>
            <family val="2"/>
          </rPr>
          <t xml:space="preserve">
First Year Commission</t>
        </r>
      </text>
    </comment>
    <comment ref="S8" authorId="0" shapeId="0" xr:uid="{22DC64C8-DB28-4FB9-B35A-109F2A407853}">
      <text>
        <r>
          <rPr>
            <b/>
            <sz val="9"/>
            <color indexed="81"/>
            <rFont val="Tahoma"/>
            <family val="2"/>
          </rPr>
          <t>Muel:</t>
        </r>
        <r>
          <rPr>
            <sz val="9"/>
            <color indexed="81"/>
            <rFont val="Tahoma"/>
            <family val="2"/>
          </rPr>
          <t xml:space="preserve">
Premier Production Bonus</t>
        </r>
      </text>
    </comment>
    <comment ref="T8" authorId="0" shapeId="0" xr:uid="{4CE520B5-1A68-4D14-91D0-7A79ED1F2BB5}">
      <text>
        <r>
          <rPr>
            <b/>
            <sz val="9"/>
            <color indexed="81"/>
            <rFont val="Tahoma"/>
            <family val="2"/>
          </rPr>
          <t>Muel:</t>
        </r>
        <r>
          <rPr>
            <sz val="9"/>
            <color indexed="81"/>
            <rFont val="Tahoma"/>
            <family val="2"/>
          </rPr>
          <t xml:space="preserve">
Policy Count Bonus. Begins in month 13.</t>
        </r>
      </text>
    </comment>
    <comment ref="U8" authorId="0" shapeId="0" xr:uid="{97252B0D-5F1A-4FAE-8FB5-3B324B5346EC}">
      <text>
        <r>
          <rPr>
            <b/>
            <sz val="9"/>
            <color indexed="81"/>
            <rFont val="Tahoma"/>
            <family val="2"/>
          </rPr>
          <t>Muel:</t>
        </r>
        <r>
          <rPr>
            <sz val="9"/>
            <color indexed="81"/>
            <rFont val="Tahoma"/>
            <family val="2"/>
          </rPr>
          <t xml:space="preserve">
Segmentation Bonus. Begins in month 13.</t>
        </r>
      </text>
    </comment>
    <comment ref="V8" authorId="0" shapeId="0" xr:uid="{A9855237-364E-486E-B2AD-E325AE33047A}">
      <text>
        <r>
          <rPr>
            <b/>
            <sz val="9"/>
            <color indexed="81"/>
            <rFont val="Tahoma"/>
            <family val="2"/>
          </rPr>
          <t>Muel:</t>
        </r>
        <r>
          <rPr>
            <sz val="9"/>
            <color indexed="81"/>
            <rFont val="Tahoma"/>
            <family val="2"/>
          </rPr>
          <t xml:space="preserve">
Renewal Year Commission</t>
        </r>
      </text>
    </comment>
    <comment ref="W8" authorId="0" shapeId="0" xr:uid="{D791D4A0-8767-415D-9D9F-9B7920845E7C}">
      <text>
        <r>
          <rPr>
            <b/>
            <sz val="9"/>
            <color indexed="81"/>
            <rFont val="Tahoma"/>
            <family val="2"/>
          </rPr>
          <t>Muel:</t>
        </r>
        <r>
          <rPr>
            <sz val="9"/>
            <color indexed="81"/>
            <rFont val="Tahoma"/>
            <family val="2"/>
          </rPr>
          <t xml:space="preserve">
Quality Business Bonus</t>
        </r>
      </text>
    </comment>
    <comment ref="X8" authorId="0" shapeId="0" xr:uid="{BE2D7183-9972-47F0-8C17-107E182AF2B4}">
      <text>
        <r>
          <rPr>
            <b/>
            <sz val="9"/>
            <color indexed="81"/>
            <rFont val="Tahoma"/>
            <family val="2"/>
          </rPr>
          <t>Muel:</t>
        </r>
        <r>
          <rPr>
            <sz val="9"/>
            <color indexed="81"/>
            <rFont val="Tahoma"/>
            <family val="2"/>
          </rPr>
          <t xml:space="preserve">
Advisor Referral Program</t>
        </r>
      </text>
    </comment>
    <comment ref="Y8" authorId="0" shapeId="0" xr:uid="{8C4F22EA-F29D-475D-B5A8-B92323041854}">
      <text>
        <r>
          <rPr>
            <b/>
            <sz val="9"/>
            <color indexed="81"/>
            <rFont val="Tahoma"/>
            <family val="2"/>
          </rPr>
          <t>Muel:</t>
        </r>
        <r>
          <rPr>
            <sz val="9"/>
            <color indexed="81"/>
            <rFont val="Tahoma"/>
            <family val="2"/>
          </rPr>
          <t xml:space="preserve">
Team Production Incentive for AUM. Assuming starts on second year.</t>
        </r>
      </text>
    </comment>
    <comment ref="AG8" authorId="0" shapeId="0" xr:uid="{3883E6E2-A8BD-4F0A-BE6D-8B74305456F2}">
      <text>
        <r>
          <rPr>
            <b/>
            <sz val="9"/>
            <color indexed="81"/>
            <rFont val="Tahoma"/>
            <family val="2"/>
          </rPr>
          <t>Muel:</t>
        </r>
        <r>
          <rPr>
            <sz val="9"/>
            <color indexed="81"/>
            <rFont val="Tahoma"/>
            <family val="2"/>
          </rPr>
          <t xml:space="preserve">
Unit Manager - Monthly Direct Production Incentive (Override). 30% to 45%</t>
        </r>
      </text>
    </comment>
    <comment ref="AH8" authorId="0" shapeId="0" xr:uid="{2563E2CA-027C-463F-BB08-AD8F5F6CAF91}">
      <text>
        <r>
          <rPr>
            <b/>
            <sz val="9"/>
            <color indexed="81"/>
            <rFont val="Tahoma"/>
            <family val="2"/>
          </rPr>
          <t>Muel:</t>
        </r>
        <r>
          <rPr>
            <sz val="9"/>
            <color indexed="81"/>
            <rFont val="Tahoma"/>
            <family val="2"/>
          </rPr>
          <t xml:space="preserve">
Quality Business Bonus</t>
        </r>
      </text>
    </comment>
    <comment ref="AI8" authorId="0" shapeId="0" xr:uid="{99B36CB2-687F-4E52-939E-BEA5BA495E27}">
      <text>
        <r>
          <rPr>
            <b/>
            <sz val="9"/>
            <color indexed="81"/>
            <rFont val="Tahoma"/>
            <family val="2"/>
          </rPr>
          <t>Muel:</t>
        </r>
        <r>
          <rPr>
            <sz val="9"/>
            <color indexed="81"/>
            <rFont val="Tahoma"/>
            <family val="2"/>
          </rPr>
          <t xml:space="preserve">
Target Achievement Bonus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Pamintuan, Lynvel-D</author>
  </authors>
  <commentList>
    <comment ref="Q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Muel:</t>
        </r>
        <r>
          <rPr>
            <sz val="9"/>
            <color indexed="81"/>
            <rFont val="Tahoma"/>
            <family val="2"/>
          </rPr>
          <t xml:space="preserve">
First Year Commission</t>
        </r>
      </text>
    </comment>
    <comment ref="R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Muel:</t>
        </r>
        <r>
          <rPr>
            <sz val="9"/>
            <color indexed="81"/>
            <rFont val="Tahoma"/>
            <family val="2"/>
          </rPr>
          <t xml:space="preserve">
Premier Production Bonus</t>
        </r>
      </text>
    </comment>
    <comment ref="S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Muel:</t>
        </r>
        <r>
          <rPr>
            <sz val="9"/>
            <color indexed="81"/>
            <rFont val="Tahoma"/>
            <family val="2"/>
          </rPr>
          <t xml:space="preserve">
Policy Count Bonus. Begins in month 13.</t>
        </r>
      </text>
    </comment>
    <comment ref="T8" authorId="0" shapeId="0" xr:uid="{00000000-0006-0000-0200-000004000000}">
      <text>
        <r>
          <rPr>
            <b/>
            <sz val="9"/>
            <color indexed="81"/>
            <rFont val="Tahoma"/>
            <family val="2"/>
          </rPr>
          <t>Muel:</t>
        </r>
        <r>
          <rPr>
            <sz val="9"/>
            <color indexed="81"/>
            <rFont val="Tahoma"/>
            <family val="2"/>
          </rPr>
          <t xml:space="preserve">
Segmentation Bonus. Begins in month 13.</t>
        </r>
      </text>
    </comment>
    <comment ref="U8" authorId="0" shapeId="0" xr:uid="{00000000-0006-0000-0200-000005000000}">
      <text>
        <r>
          <rPr>
            <b/>
            <sz val="9"/>
            <color indexed="81"/>
            <rFont val="Tahoma"/>
            <family val="2"/>
          </rPr>
          <t>Muel:</t>
        </r>
        <r>
          <rPr>
            <sz val="9"/>
            <color indexed="81"/>
            <rFont val="Tahoma"/>
            <family val="2"/>
          </rPr>
          <t xml:space="preserve">
Renewal Year Commission</t>
        </r>
      </text>
    </comment>
    <comment ref="V8" authorId="0" shapeId="0" xr:uid="{00000000-0006-0000-0200-000006000000}">
      <text>
        <r>
          <rPr>
            <b/>
            <sz val="9"/>
            <color indexed="81"/>
            <rFont val="Tahoma"/>
            <family val="2"/>
          </rPr>
          <t>Muel:</t>
        </r>
        <r>
          <rPr>
            <sz val="9"/>
            <color indexed="81"/>
            <rFont val="Tahoma"/>
            <family val="2"/>
          </rPr>
          <t xml:space="preserve">
Quality Business Bonus</t>
        </r>
      </text>
    </comment>
    <comment ref="W8" authorId="0" shapeId="0" xr:uid="{00000000-0006-0000-0200-000007000000}">
      <text>
        <r>
          <rPr>
            <b/>
            <sz val="9"/>
            <color indexed="81"/>
            <rFont val="Tahoma"/>
            <family val="2"/>
          </rPr>
          <t>Muel:</t>
        </r>
        <r>
          <rPr>
            <sz val="9"/>
            <color indexed="81"/>
            <rFont val="Tahoma"/>
            <family val="2"/>
          </rPr>
          <t xml:space="preserve">
Advisor Referral Program</t>
        </r>
      </text>
    </comment>
  </commentList>
</comments>
</file>

<file path=xl/sharedStrings.xml><?xml version="1.0" encoding="utf-8"?>
<sst xmlns="http://schemas.openxmlformats.org/spreadsheetml/2006/main" count="522" uniqueCount="196">
  <si>
    <t>*updated as of May 8, 2019</t>
  </si>
  <si>
    <t>ADVISOR 3-YEAR INCOME CALCULATOR</t>
  </si>
  <si>
    <t>Input Assumptions</t>
  </si>
  <si>
    <t>I can produce an average of</t>
  </si>
  <si>
    <t xml:space="preserve">  cases per month.</t>
  </si>
  <si>
    <t xml:space="preserve">The average annual premium of the cases I sell is </t>
  </si>
  <si>
    <t>In a year, I am able to sell for</t>
  </si>
  <si>
    <t xml:space="preserve">  I am interested in referring my friends to join our unit</t>
  </si>
  <si>
    <t>Please input the number of referrals you can make and month in which you plan in referring them:</t>
  </si>
  <si>
    <t>M3</t>
  </si>
  <si>
    <t>M6</t>
  </si>
  <si>
    <t>Year 1 Q1</t>
  </si>
  <si>
    <t>Year 1 Q2</t>
  </si>
  <si>
    <t>Year 1 Q3</t>
  </si>
  <si>
    <t>Year 1 Q4</t>
  </si>
  <si>
    <t>Year 2 Q1</t>
  </si>
  <si>
    <t>Year 2 Q2</t>
  </si>
  <si>
    <t>Year 2 Q3</t>
  </si>
  <si>
    <t>Year 2 Q4</t>
  </si>
  <si>
    <t>Year 3 Q1</t>
  </si>
  <si>
    <t>Year 3 Q2</t>
  </si>
  <si>
    <t>Year 3 Q3</t>
  </si>
  <si>
    <t>Year 3 Q4</t>
  </si>
  <si>
    <t xml:space="preserve">I will help my referred advisors to produce at least </t>
  </si>
  <si>
    <t xml:space="preserve">The average annual premium I think they can produce is </t>
  </si>
  <si>
    <t xml:space="preserve">I will be helping them to be actively selling for </t>
  </si>
  <si>
    <t xml:space="preserve"> months in a year.</t>
  </si>
  <si>
    <t>Projected Income</t>
  </si>
  <si>
    <t>M1</t>
  </si>
  <si>
    <t>M2</t>
  </si>
  <si>
    <t>M4</t>
  </si>
  <si>
    <t>M5</t>
  </si>
  <si>
    <t>M7</t>
  </si>
  <si>
    <t>M8</t>
  </si>
  <si>
    <t>M9</t>
  </si>
  <si>
    <t>M10</t>
  </si>
  <si>
    <t>M11</t>
  </si>
  <si>
    <t>M12</t>
  </si>
  <si>
    <t>Month</t>
  </si>
  <si>
    <t>M13</t>
  </si>
  <si>
    <t>M14</t>
  </si>
  <si>
    <t>M15</t>
  </si>
  <si>
    <t>M16</t>
  </si>
  <si>
    <t>M17</t>
  </si>
  <si>
    <t>M18</t>
  </si>
  <si>
    <t>M19</t>
  </si>
  <si>
    <t>M20</t>
  </si>
  <si>
    <t>M21</t>
  </si>
  <si>
    <t>M22</t>
  </si>
  <si>
    <t>M23</t>
  </si>
  <si>
    <t>M24</t>
  </si>
  <si>
    <t>M25</t>
  </si>
  <si>
    <t>M26</t>
  </si>
  <si>
    <t>M27</t>
  </si>
  <si>
    <t>M28</t>
  </si>
  <si>
    <t>M29</t>
  </si>
  <si>
    <t>M30</t>
  </si>
  <si>
    <t>M31</t>
  </si>
  <si>
    <t>M32</t>
  </si>
  <si>
    <t>M33</t>
  </si>
  <si>
    <t>M34</t>
  </si>
  <si>
    <t>M35</t>
  </si>
  <si>
    <t>M36</t>
  </si>
  <si>
    <r>
      <t xml:space="preserve"> months. </t>
    </r>
    <r>
      <rPr>
        <i/>
        <sz val="9"/>
        <color theme="1"/>
        <rFont val="Calibri"/>
        <family val="2"/>
        <scheme val="minor"/>
      </rPr>
      <t>(Minimum of 4 months per year)</t>
    </r>
  </si>
  <si>
    <t>Persistency Assumption is at 100%.</t>
  </si>
  <si>
    <t>FYC</t>
  </si>
  <si>
    <t>Cases</t>
  </si>
  <si>
    <t>PPB</t>
  </si>
  <si>
    <t>Est. ANP</t>
  </si>
  <si>
    <t>QBB</t>
  </si>
  <si>
    <t>RYC</t>
  </si>
  <si>
    <t>ARP</t>
  </si>
  <si>
    <t>Total Earnings</t>
  </si>
  <si>
    <t>Total</t>
  </si>
  <si>
    <t>Y</t>
  </si>
  <si>
    <t>TABLES</t>
  </si>
  <si>
    <t>NEW</t>
  </si>
  <si>
    <t>TENURED ADVISORS</t>
  </si>
  <si>
    <t>FYC / PERS</t>
  </si>
  <si>
    <t>Tenured Advisor PPB Multiplier</t>
  </si>
  <si>
    <t>Policy Count Bonus</t>
  </si>
  <si>
    <t>2-Year</t>
  </si>
  <si>
    <t>Senior</t>
  </si>
  <si>
    <t> Executive Advisor</t>
  </si>
  <si>
    <t>Senior Executive Advisor</t>
  </si>
  <si>
    <t>Persistency</t>
  </si>
  <si>
    <t>Advisor</t>
  </si>
  <si>
    <t>92% and Above</t>
  </si>
  <si>
    <t xml:space="preserve"> cases per month.</t>
  </si>
  <si>
    <t>PCB</t>
  </si>
  <si>
    <t>SB</t>
  </si>
  <si>
    <t>Calc</t>
  </si>
  <si>
    <t>Active</t>
  </si>
  <si>
    <t>ANP</t>
  </si>
  <si>
    <t>Payment Mode Assumption: 100% Annual (Other modes will be available soon in this projection)</t>
  </si>
  <si>
    <t>R3M CC</t>
  </si>
  <si>
    <t>R3M FYC</t>
  </si>
  <si>
    <t>R3M Rate</t>
  </si>
  <si>
    <t>PCB Rate</t>
  </si>
  <si>
    <t>PCB Amt</t>
  </si>
  <si>
    <t>SB Rate</t>
  </si>
  <si>
    <t>SB Amt</t>
  </si>
  <si>
    <t>*Travel Incentives, Gadgets, Tactical Rewards and other incentives are not yet included in this projection.</t>
  </si>
  <si>
    <t>ARP Rate</t>
  </si>
  <si>
    <t>Summary of Income</t>
  </si>
  <si>
    <t>Accumulated Earnings</t>
  </si>
  <si>
    <t>UNIT MANAGER 3-YEAR INCOME CALCULATOR</t>
  </si>
  <si>
    <t>UM MDPI</t>
  </si>
  <si>
    <t>Tenured</t>
  </si>
  <si>
    <t>New</t>
  </si>
  <si>
    <t>TAB</t>
  </si>
  <si>
    <t>Small</t>
  </si>
  <si>
    <t>Medium</t>
  </si>
  <si>
    <t>Large</t>
  </si>
  <si>
    <t>CP</t>
  </si>
  <si>
    <t>Input Business Plan Assumptions</t>
  </si>
  <si>
    <t>Note: This calculator is for incoming Unit Managers from different companies only. Calculator for New and Tenured UM will soon be available.</t>
  </si>
  <si>
    <t>Number of Initial Advisors</t>
  </si>
  <si>
    <t>Personal Production (Optional)</t>
  </si>
  <si>
    <t>Active Months in a year (Non Zero Months)</t>
  </si>
  <si>
    <t>Average number of cases per month</t>
  </si>
  <si>
    <t>Average annual premium of cases sold</t>
  </si>
  <si>
    <t>Unit Production</t>
  </si>
  <si>
    <t>Activity Ratio (No. of Producers / Manpower)</t>
  </si>
  <si>
    <t>Average number of cases per month per advisor</t>
  </si>
  <si>
    <t>Manpower</t>
  </si>
  <si>
    <t>New Recruits</t>
  </si>
  <si>
    <t>Inforce</t>
  </si>
  <si>
    <t>**Termination rate is at 10%</t>
  </si>
  <si>
    <t>Producing Agents</t>
  </si>
  <si>
    <t>No. of Policies</t>
  </si>
  <si>
    <t>Group FYP</t>
  </si>
  <si>
    <t>Group FYC</t>
  </si>
  <si>
    <t>UM-MDPI</t>
  </si>
  <si>
    <t>Personal Earnings</t>
  </si>
  <si>
    <t>Unit QBB</t>
  </si>
  <si>
    <t>Group RYC</t>
  </si>
  <si>
    <r>
      <t>Enter the number of recruits in 3 years below (</t>
    </r>
    <r>
      <rPr>
        <i/>
        <sz val="10"/>
        <color theme="1"/>
        <rFont val="Calibri"/>
        <family val="2"/>
        <scheme val="minor"/>
      </rPr>
      <t>or enter it directly in New Recruits column in Projected Income Table</t>
    </r>
    <r>
      <rPr>
        <sz val="11"/>
        <color theme="1"/>
        <rFont val="Calibri"/>
        <family val="2"/>
        <scheme val="minor"/>
      </rPr>
      <t>):</t>
    </r>
  </si>
  <si>
    <t>Advisor Assumptions</t>
  </si>
  <si>
    <t>N</t>
  </si>
  <si>
    <t>*updated as of July 25, 2019</t>
  </si>
  <si>
    <t>ADVISOR WITH LEADERSHIP TRACK 5-YR INCOME SIMULATOR</t>
  </si>
  <si>
    <t>Q1</t>
  </si>
  <si>
    <t>Q2</t>
  </si>
  <si>
    <t>Q3</t>
  </si>
  <si>
    <t>Q4</t>
  </si>
  <si>
    <t>Year 1</t>
  </si>
  <si>
    <t>Year 2</t>
  </si>
  <si>
    <t>Year 3</t>
  </si>
  <si>
    <t>Year 4</t>
  </si>
  <si>
    <t>Year 5</t>
  </si>
  <si>
    <t>PERSONAL PRODUCTION</t>
  </si>
  <si>
    <t>LEADER PRODUCTION</t>
  </si>
  <si>
    <t>M37</t>
  </si>
  <si>
    <t>M38</t>
  </si>
  <si>
    <t>M39</t>
  </si>
  <si>
    <t>M40</t>
  </si>
  <si>
    <t>M41</t>
  </si>
  <si>
    <t>M42</t>
  </si>
  <si>
    <t>M43</t>
  </si>
  <si>
    <t>M44</t>
  </si>
  <si>
    <t>M45</t>
  </si>
  <si>
    <t>M46</t>
  </si>
  <si>
    <t>M47</t>
  </si>
  <si>
    <t>M48</t>
  </si>
  <si>
    <t>M49</t>
  </si>
  <si>
    <t>M50</t>
  </si>
  <si>
    <t>M51</t>
  </si>
  <si>
    <t>M52</t>
  </si>
  <si>
    <t>M53</t>
  </si>
  <si>
    <t>M54</t>
  </si>
  <si>
    <t>M55</t>
  </si>
  <si>
    <t>M56</t>
  </si>
  <si>
    <t>M57</t>
  </si>
  <si>
    <t>M58</t>
  </si>
  <si>
    <t>M59</t>
  </si>
  <si>
    <t>M60</t>
  </si>
  <si>
    <t>Advisor Referral Program</t>
  </si>
  <si>
    <t>Unit Manager Advisor Production Assumptions</t>
  </si>
  <si>
    <t>TPI</t>
  </si>
  <si>
    <t>Level</t>
  </si>
  <si>
    <t>C1</t>
  </si>
  <si>
    <t>For an advisor to get promoted to AUM, minimum of 2 advisors while 6 for UM promotion.</t>
  </si>
  <si>
    <t>Projected Income Calculation</t>
  </si>
  <si>
    <t>Y1</t>
  </si>
  <si>
    <t>Y2</t>
  </si>
  <si>
    <t>Y3</t>
  </si>
  <si>
    <t>Y4</t>
  </si>
  <si>
    <t>Y5</t>
  </si>
  <si>
    <t>Income Summary</t>
  </si>
  <si>
    <t>Annual ('m)</t>
  </si>
  <si>
    <t>Monthly ('k)</t>
  </si>
  <si>
    <t>%</t>
  </si>
  <si>
    <t>PPB ANP</t>
  </si>
  <si>
    <t>Quarterly Net Team ANP</t>
  </si>
  <si>
    <t>Bonus 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</si>
</sst>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(* #,##0_);_(* \(#,##0\);_(* &quot;-&quot;??_);_(@_)"/>
    <numFmt numFmtId="166" formatCode="_(* #,##0_);_(* \(#,##0\);_(* &quot;-&quot;?_);_(@_)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color theme="0"/>
      <name val="Calibri"/>
      <family val="2"/>
      <scheme val="minor"/>
    </font>
    <font>
      <b/>
      <sz val="16"/>
      <color rgb="FFFFFFFF"/>
      <name val="AIA Everest"/>
    </font>
    <font>
      <b/>
      <sz val="10"/>
      <color rgb="FF000000"/>
      <name val="AIA Everest"/>
    </font>
    <font>
      <sz val="16"/>
      <color rgb="FF000000"/>
      <name val="AIA Everest"/>
    </font>
    <font>
      <sz val="10"/>
      <color rgb="FF000000"/>
      <name val="AIA Everest"/>
    </font>
    <font>
      <sz val="12"/>
      <color rgb="FFFFFFFF"/>
      <name val="AIA Everest"/>
    </font>
    <font>
      <b/>
      <sz val="11"/>
      <color rgb="FFFFFFFF"/>
      <name val="AIA Everest"/>
    </font>
    <font>
      <sz val="10"/>
      <color rgb="FFFFFFFF"/>
      <name val="AIA Everest"/>
    </font>
    <font>
      <sz val="11"/>
      <color rgb="FF000000"/>
      <name val="AIA Everest"/>
    </font>
    <font>
      <b/>
      <i/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14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0"/>
      <color theme="2" tint="-0.499984740745262"/>
      <name val="Calibri"/>
      <family val="2"/>
      <scheme val="minor"/>
    </font>
    <font>
      <sz val="10"/>
      <name val="Calibri"/>
      <family val="2"/>
      <scheme val="minor"/>
    </font>
    <font>
      <b/>
      <sz val="11"/>
      <color rgb="FFFFFFFF"/>
      <name val="Arial"/>
      <family val="2"/>
    </font>
    <font>
      <sz val="11"/>
      <color rgb="FFFFFFFF"/>
      <name val="Arial"/>
      <family val="2"/>
    </font>
    <font>
      <b/>
      <sz val="11"/>
      <color rgb="FF000000"/>
      <name val="Arial"/>
      <family val="2"/>
    </font>
    <font>
      <b/>
      <sz val="14"/>
      <color rgb="FFFFFFFF"/>
      <name val="Arial"/>
    </font>
    <font>
      <sz val="14"/>
      <color rgb="FF000000"/>
      <name val="Arial"/>
    </font>
  </fonts>
  <fills count="17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D31145"/>
        <bgColor indexed="64"/>
      </patternFill>
    </fill>
    <fill>
      <patternFill patternType="solid">
        <fgColor rgb="FFF7F7F7"/>
        <bgColor indexed="64"/>
      </patternFill>
    </fill>
    <fill>
      <patternFill patternType="solid">
        <fgColor rgb="FFC1D82F"/>
        <bgColor indexed="64"/>
      </patternFill>
    </fill>
    <fill>
      <patternFill patternType="solid">
        <fgColor rgb="FF0073AE"/>
        <bgColor indexed="64"/>
      </patternFill>
    </fill>
    <fill>
      <patternFill patternType="solid">
        <fgColor rgb="FFF8982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00A3DF"/>
        <bgColor indexed="64"/>
      </patternFill>
    </fill>
    <fill>
      <patternFill patternType="solid">
        <fgColor rgb="FFE7E7E7"/>
        <bgColor indexed="64"/>
      </patternFill>
    </fill>
    <fill>
      <patternFill patternType="solid">
        <fgColor rgb="FFCBE0F3"/>
        <bgColor indexed="64"/>
      </patternFill>
    </fill>
    <fill>
      <patternFill patternType="solid">
        <fgColor rgb="FFE7F0F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thick">
        <color rgb="FFFFFFFF"/>
      </bottom>
      <diagonal/>
    </border>
    <border>
      <left style="medium">
        <color rgb="FFFFFFFF"/>
      </left>
      <right style="medium">
        <color rgb="FFFFFFFF"/>
      </right>
      <top style="thick">
        <color rgb="FFFFFFFF"/>
      </top>
      <bottom style="medium">
        <color rgb="FFFFFFFF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1">
    <xf numFmtId="0" fontId="0" fillId="0" borderId="0" xfId="0"/>
    <xf numFmtId="0" fontId="2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0" fillId="0" borderId="0" xfId="0" applyAlignment="1">
      <alignment horizontal="center"/>
    </xf>
    <xf numFmtId="165" fontId="0" fillId="0" borderId="0" xfId="1" applyNumberFormat="1" applyFont="1" applyAlignment="1">
      <alignment horizontal="center"/>
    </xf>
    <xf numFmtId="0" fontId="0" fillId="2" borderId="0" xfId="0" applyFill="1"/>
    <xf numFmtId="0" fontId="7" fillId="0" borderId="0" xfId="0" applyFont="1"/>
    <xf numFmtId="0" fontId="10" fillId="4" borderId="0" xfId="0" applyFont="1" applyFill="1"/>
    <xf numFmtId="0" fontId="3" fillId="0" borderId="2" xfId="0" applyFont="1" applyBorder="1"/>
    <xf numFmtId="0" fontId="0" fillId="0" borderId="0" xfId="0" applyFill="1" applyBorder="1"/>
    <xf numFmtId="10" fontId="13" fillId="6" borderId="9" xfId="0" applyNumberFormat="1" applyFont="1" applyFill="1" applyBorder="1" applyAlignment="1">
      <alignment horizontal="center" vertical="center" wrapText="1" readingOrder="1"/>
    </xf>
    <xf numFmtId="9" fontId="13" fillId="6" borderId="9" xfId="0" applyNumberFormat="1" applyFont="1" applyFill="1" applyBorder="1" applyAlignment="1">
      <alignment horizontal="center" vertical="center" wrapText="1" readingOrder="1"/>
    </xf>
    <xf numFmtId="9" fontId="14" fillId="0" borderId="0" xfId="0" applyNumberFormat="1" applyFont="1" applyFill="1" applyBorder="1" applyAlignment="1">
      <alignment horizontal="center" vertical="center" wrapText="1" readingOrder="1"/>
    </xf>
    <xf numFmtId="165" fontId="11" fillId="5" borderId="9" xfId="1" applyNumberFormat="1" applyFont="1" applyFill="1" applyBorder="1" applyAlignment="1">
      <alignment horizontal="center" vertical="center" wrapText="1" readingOrder="1"/>
    </xf>
    <xf numFmtId="9" fontId="0" fillId="0" borderId="0" xfId="0" applyNumberFormat="1"/>
    <xf numFmtId="165" fontId="11" fillId="0" borderId="0" xfId="1" applyNumberFormat="1" applyFont="1" applyFill="1" applyBorder="1" applyAlignment="1">
      <alignment horizontal="center" vertical="center" wrapText="1" readingOrder="1"/>
    </xf>
    <xf numFmtId="9" fontId="13" fillId="0" borderId="0" xfId="0" applyNumberFormat="1" applyFont="1" applyFill="1" applyBorder="1" applyAlignment="1">
      <alignment horizontal="center" vertical="center" wrapText="1" readingOrder="1"/>
    </xf>
    <xf numFmtId="10" fontId="13" fillId="0" borderId="0" xfId="0" applyNumberFormat="1" applyFont="1" applyFill="1" applyBorder="1" applyAlignment="1">
      <alignment horizontal="center" vertical="center" wrapText="1" readingOrder="1"/>
    </xf>
    <xf numFmtId="0" fontId="2" fillId="0" borderId="0" xfId="0" applyFont="1" applyAlignment="1">
      <alignment horizontal="center"/>
    </xf>
    <xf numFmtId="9" fontId="12" fillId="7" borderId="9" xfId="2" applyFont="1" applyFill="1" applyBorder="1" applyAlignment="1">
      <alignment horizontal="center" vertical="center" wrapText="1" readingOrder="1"/>
    </xf>
    <xf numFmtId="165" fontId="11" fillId="5" borderId="0" xfId="1" applyNumberFormat="1" applyFont="1" applyFill="1" applyBorder="1" applyAlignment="1">
      <alignment horizontal="center" vertical="center" wrapText="1" readingOrder="1"/>
    </xf>
    <xf numFmtId="9" fontId="13" fillId="6" borderId="0" xfId="0" applyNumberFormat="1" applyFont="1" applyFill="1" applyBorder="1" applyAlignment="1">
      <alignment horizontal="center" vertical="center" wrapText="1" readingOrder="1"/>
    </xf>
    <xf numFmtId="0" fontId="17" fillId="8" borderId="4" xfId="0" applyFont="1" applyFill="1" applyBorder="1" applyAlignment="1">
      <alignment horizontal="center" vertical="center" wrapText="1" readingOrder="1"/>
    </xf>
    <xf numFmtId="0" fontId="16" fillId="9" borderId="9" xfId="0" applyFont="1" applyFill="1" applyBorder="1" applyAlignment="1">
      <alignment horizontal="center" vertical="center" wrapText="1" readingOrder="1"/>
    </xf>
    <xf numFmtId="0" fontId="17" fillId="8" borderId="8" xfId="0" applyFont="1" applyFill="1" applyBorder="1" applyAlignment="1">
      <alignment horizontal="center" vertical="center" wrapText="1" readingOrder="1"/>
    </xf>
    <xf numFmtId="0" fontId="18" fillId="10" borderId="9" xfId="0" applyFont="1" applyFill="1" applyBorder="1" applyAlignment="1">
      <alignment horizontal="center" vertical="center" wrapText="1" readingOrder="1"/>
    </xf>
    <xf numFmtId="9" fontId="18" fillId="10" borderId="9" xfId="0" applyNumberFormat="1" applyFont="1" applyFill="1" applyBorder="1" applyAlignment="1">
      <alignment horizontal="center" vertical="center" wrapText="1" readingOrder="1"/>
    </xf>
    <xf numFmtId="0" fontId="12" fillId="10" borderId="9" xfId="0" applyFont="1" applyFill="1" applyBorder="1" applyAlignment="1">
      <alignment horizontal="left" vertical="center" wrapText="1" readingOrder="1"/>
    </xf>
    <xf numFmtId="0" fontId="14" fillId="10" borderId="9" xfId="0" applyFont="1" applyFill="1" applyBorder="1" applyAlignment="1">
      <alignment horizontal="center" vertical="center" wrapText="1" readingOrder="1"/>
    </xf>
    <xf numFmtId="164" fontId="0" fillId="0" borderId="0" xfId="0" applyNumberFormat="1"/>
    <xf numFmtId="165" fontId="0" fillId="0" borderId="0" xfId="1" applyNumberFormat="1" applyFont="1"/>
    <xf numFmtId="166" fontId="0" fillId="0" borderId="0" xfId="0" applyNumberFormat="1"/>
    <xf numFmtId="165" fontId="0" fillId="0" borderId="0" xfId="0" applyNumberFormat="1"/>
    <xf numFmtId="0" fontId="16" fillId="5" borderId="8" xfId="0" applyFont="1" applyFill="1" applyBorder="1" applyAlignment="1">
      <alignment vertical="center" wrapText="1" readingOrder="1"/>
    </xf>
    <xf numFmtId="0" fontId="16" fillId="5" borderId="9" xfId="0" applyFont="1" applyFill="1" applyBorder="1" applyAlignment="1">
      <alignment horizontal="center" vertical="center" wrapText="1" readingOrder="1"/>
    </xf>
    <xf numFmtId="10" fontId="18" fillId="6" borderId="9" xfId="0" applyNumberFormat="1" applyFont="1" applyFill="1" applyBorder="1" applyAlignment="1">
      <alignment horizontal="center" vertical="center" wrapText="1" readingOrder="1"/>
    </xf>
    <xf numFmtId="9" fontId="18" fillId="6" borderId="9" xfId="0" applyNumberFormat="1" applyFont="1" applyFill="1" applyBorder="1" applyAlignment="1">
      <alignment horizontal="center" vertical="center" wrapText="1" readingOrder="1"/>
    </xf>
    <xf numFmtId="165" fontId="16" fillId="5" borderId="9" xfId="1" applyNumberFormat="1" applyFont="1" applyFill="1" applyBorder="1" applyAlignment="1">
      <alignment horizontal="center" vertical="center" wrapText="1" readingOrder="1"/>
    </xf>
    <xf numFmtId="9" fontId="0" fillId="0" borderId="0" xfId="2" applyFont="1"/>
    <xf numFmtId="9" fontId="0" fillId="3" borderId="0" xfId="2" applyFont="1" applyFill="1"/>
    <xf numFmtId="9" fontId="16" fillId="9" borderId="9" xfId="0" applyNumberFormat="1" applyFont="1" applyFill="1" applyBorder="1" applyAlignment="1">
      <alignment horizontal="center" vertical="center" wrapText="1" readingOrder="1"/>
    </xf>
    <xf numFmtId="166" fontId="0" fillId="3" borderId="0" xfId="0" applyNumberFormat="1" applyFill="1"/>
    <xf numFmtId="0" fontId="0" fillId="3" borderId="0" xfId="0" applyFill="1"/>
    <xf numFmtId="165" fontId="0" fillId="3" borderId="0" xfId="1" applyNumberFormat="1" applyFont="1" applyFill="1"/>
    <xf numFmtId="0" fontId="19" fillId="0" borderId="0" xfId="0" applyFont="1"/>
    <xf numFmtId="164" fontId="3" fillId="3" borderId="1" xfId="1" applyNumberFormat="1" applyFont="1" applyFill="1" applyBorder="1" applyAlignment="1" applyProtection="1">
      <alignment horizontal="center"/>
      <protection locked="0"/>
    </xf>
    <xf numFmtId="165" fontId="3" fillId="3" borderId="1" xfId="1" applyNumberFormat="1" applyFont="1" applyFill="1" applyBorder="1" applyAlignment="1" applyProtection="1">
      <alignment horizontal="center"/>
      <protection locked="0"/>
    </xf>
    <xf numFmtId="165" fontId="3" fillId="3" borderId="2" xfId="1" applyNumberFormat="1" applyFont="1" applyFill="1" applyBorder="1" applyAlignment="1" applyProtection="1">
      <alignment horizontal="center"/>
      <protection locked="0"/>
    </xf>
    <xf numFmtId="164" fontId="3" fillId="0" borderId="2" xfId="0" applyNumberFormat="1" applyFont="1" applyBorder="1" applyProtection="1">
      <protection hidden="1"/>
    </xf>
    <xf numFmtId="165" fontId="3" fillId="0" borderId="2" xfId="0" applyNumberFormat="1" applyFont="1" applyBorder="1" applyProtection="1">
      <protection hidden="1"/>
    </xf>
    <xf numFmtId="166" fontId="3" fillId="0" borderId="2" xfId="0" applyNumberFormat="1" applyFont="1" applyBorder="1" applyProtection="1">
      <protection hidden="1"/>
    </xf>
    <xf numFmtId="165" fontId="3" fillId="0" borderId="2" xfId="1" applyNumberFormat="1" applyFont="1" applyBorder="1" applyProtection="1">
      <protection hidden="1"/>
    </xf>
    <xf numFmtId="0" fontId="3" fillId="0" borderId="0" xfId="0" applyFont="1" applyAlignment="1" applyProtection="1">
      <alignment horizontal="center"/>
      <protection hidden="1"/>
    </xf>
    <xf numFmtId="166" fontId="3" fillId="0" borderId="0" xfId="0" applyNumberFormat="1" applyFont="1" applyProtection="1">
      <protection hidden="1"/>
    </xf>
    <xf numFmtId="10" fontId="0" fillId="0" borderId="0" xfId="0" applyNumberFormat="1"/>
    <xf numFmtId="0" fontId="20" fillId="0" borderId="0" xfId="0" applyFont="1"/>
    <xf numFmtId="0" fontId="21" fillId="0" borderId="0" xfId="0" applyFont="1"/>
    <xf numFmtId="0" fontId="23" fillId="0" borderId="0" xfId="0" applyFont="1"/>
    <xf numFmtId="9" fontId="3" fillId="3" borderId="1" xfId="2" applyNumberFormat="1" applyFont="1" applyFill="1" applyBorder="1" applyAlignment="1" applyProtection="1">
      <alignment horizontal="right"/>
      <protection locked="0"/>
    </xf>
    <xf numFmtId="0" fontId="22" fillId="0" borderId="2" xfId="0" applyFont="1" applyBorder="1"/>
    <xf numFmtId="164" fontId="0" fillId="0" borderId="0" xfId="1" applyFont="1"/>
    <xf numFmtId="165" fontId="22" fillId="0" borderId="2" xfId="0" applyNumberFormat="1" applyFont="1" applyBorder="1" applyProtection="1">
      <protection hidden="1"/>
    </xf>
    <xf numFmtId="165" fontId="22" fillId="0" borderId="2" xfId="1" applyNumberFormat="1" applyFont="1" applyBorder="1" applyProtection="1">
      <protection hidden="1"/>
    </xf>
    <xf numFmtId="165" fontId="3" fillId="0" borderId="2" xfId="1" applyNumberFormat="1" applyFont="1" applyBorder="1" applyProtection="1">
      <protection locked="0"/>
    </xf>
    <xf numFmtId="0" fontId="3" fillId="0" borderId="2" xfId="0" applyFont="1" applyBorder="1" applyProtection="1">
      <protection hidden="1"/>
    </xf>
    <xf numFmtId="164" fontId="3" fillId="0" borderId="2" xfId="1" applyNumberFormat="1" applyFont="1" applyBorder="1" applyProtection="1">
      <protection hidden="1"/>
    </xf>
    <xf numFmtId="164" fontId="3" fillId="0" borderId="2" xfId="1" applyFont="1" applyBorder="1" applyProtection="1">
      <protection hidden="1"/>
    </xf>
    <xf numFmtId="0" fontId="22" fillId="0" borderId="2" xfId="0" applyFont="1" applyBorder="1" applyProtection="1">
      <protection hidden="1"/>
    </xf>
    <xf numFmtId="164" fontId="22" fillId="0" borderId="2" xfId="0" applyNumberFormat="1" applyFont="1" applyBorder="1" applyProtection="1">
      <protection hidden="1"/>
    </xf>
    <xf numFmtId="164" fontId="22" fillId="0" borderId="2" xfId="1" applyFont="1" applyBorder="1" applyProtection="1">
      <protection hidden="1"/>
    </xf>
    <xf numFmtId="0" fontId="0" fillId="0" borderId="0" xfId="0" applyProtection="1">
      <protection hidden="1"/>
    </xf>
    <xf numFmtId="164" fontId="0" fillId="0" borderId="0" xfId="0" applyNumberFormat="1" applyProtection="1">
      <protection hidden="1"/>
    </xf>
    <xf numFmtId="9" fontId="0" fillId="0" borderId="0" xfId="2" applyFont="1" applyProtection="1">
      <protection hidden="1"/>
    </xf>
    <xf numFmtId="0" fontId="25" fillId="0" borderId="0" xfId="0" applyFont="1"/>
    <xf numFmtId="165" fontId="3" fillId="0" borderId="0" xfId="1" applyNumberFormat="1" applyFont="1" applyFill="1" applyBorder="1" applyAlignment="1" applyProtection="1">
      <alignment horizontal="center"/>
      <protection locked="0"/>
    </xf>
    <xf numFmtId="165" fontId="27" fillId="12" borderId="2" xfId="1" applyNumberFormat="1" applyFont="1" applyFill="1" applyBorder="1" applyProtection="1">
      <protection hidden="1"/>
    </xf>
    <xf numFmtId="165" fontId="28" fillId="0" borderId="2" xfId="1" applyNumberFormat="1" applyFont="1" applyFill="1" applyBorder="1" applyProtection="1">
      <protection hidden="1"/>
    </xf>
    <xf numFmtId="164" fontId="0" fillId="0" borderId="0" xfId="1" applyNumberFormat="1" applyFont="1"/>
    <xf numFmtId="0" fontId="22" fillId="0" borderId="0" xfId="0" applyFont="1"/>
    <xf numFmtId="0" fontId="0" fillId="0" borderId="0" xfId="0" applyProtection="1">
      <protection locked="0"/>
    </xf>
    <xf numFmtId="0" fontId="0" fillId="0" borderId="0" xfId="0" applyAlignment="1" applyProtection="1">
      <alignment horizontal="right"/>
      <protection locked="0"/>
    </xf>
    <xf numFmtId="0" fontId="0" fillId="0" borderId="0" xfId="0" applyFill="1" applyAlignment="1" applyProtection="1">
      <alignment horizontal="right"/>
      <protection locked="0"/>
    </xf>
    <xf numFmtId="0" fontId="26" fillId="0" borderId="0" xfId="0" applyFont="1" applyAlignment="1" applyProtection="1">
      <alignment horizontal="left"/>
      <protection locked="0"/>
    </xf>
    <xf numFmtId="0" fontId="2" fillId="0" borderId="0" xfId="0" applyFont="1" applyFill="1" applyBorder="1" applyAlignment="1" applyProtection="1">
      <alignment horizontal="left"/>
      <protection locked="0"/>
    </xf>
    <xf numFmtId="165" fontId="0" fillId="11" borderId="0" xfId="0" applyNumberFormat="1" applyFill="1"/>
    <xf numFmtId="0" fontId="29" fillId="13" borderId="13" xfId="0" applyFont="1" applyFill="1" applyBorder="1" applyAlignment="1">
      <alignment horizontal="center" vertical="center" wrapText="1" readingOrder="1"/>
    </xf>
    <xf numFmtId="3" fontId="30" fillId="13" borderId="13" xfId="0" applyNumberFormat="1" applyFont="1" applyFill="1" applyBorder="1" applyAlignment="1">
      <alignment horizontal="center" vertical="center" wrapText="1" readingOrder="1"/>
    </xf>
    <xf numFmtId="9" fontId="31" fillId="14" borderId="13" xfId="0" applyNumberFormat="1" applyFont="1" applyFill="1" applyBorder="1" applyAlignment="1">
      <alignment horizontal="center" vertical="center" wrapText="1" readingOrder="1"/>
    </xf>
    <xf numFmtId="0" fontId="32" fillId="13" borderId="14" xfId="0" applyFont="1" applyFill="1" applyBorder="1" applyAlignment="1">
      <alignment horizontal="center" vertical="center" wrapText="1" readingOrder="1"/>
    </xf>
    <xf numFmtId="3" fontId="33" fillId="15" borderId="15" xfId="0" applyNumberFormat="1" applyFont="1" applyFill="1" applyBorder="1" applyAlignment="1">
      <alignment horizontal="center" vertical="center" wrapText="1" readingOrder="1"/>
    </xf>
    <xf numFmtId="10" fontId="33" fillId="15" borderId="15" xfId="0" applyNumberFormat="1" applyFont="1" applyFill="1" applyBorder="1" applyAlignment="1">
      <alignment horizontal="center" vertical="center" wrapText="1" readingOrder="1"/>
    </xf>
    <xf numFmtId="3" fontId="33" fillId="16" borderId="13" xfId="0" applyNumberFormat="1" applyFont="1" applyFill="1" applyBorder="1" applyAlignment="1">
      <alignment horizontal="center" vertical="center" wrapText="1" readingOrder="1"/>
    </xf>
    <xf numFmtId="10" fontId="33" fillId="16" borderId="13" xfId="0" applyNumberFormat="1" applyFont="1" applyFill="1" applyBorder="1" applyAlignment="1">
      <alignment horizontal="center" vertical="center" wrapText="1" readingOrder="1"/>
    </xf>
    <xf numFmtId="3" fontId="33" fillId="15" borderId="13" xfId="0" applyNumberFormat="1" applyFont="1" applyFill="1" applyBorder="1" applyAlignment="1">
      <alignment horizontal="center" vertical="center" wrapText="1" readingOrder="1"/>
    </xf>
    <xf numFmtId="10" fontId="33" fillId="15" borderId="13" xfId="0" applyNumberFormat="1" applyFont="1" applyFill="1" applyBorder="1" applyAlignment="1">
      <alignment horizontal="center" vertical="center" wrapText="1" readingOrder="1"/>
    </xf>
    <xf numFmtId="0" fontId="22" fillId="11" borderId="10" xfId="0" applyFont="1" applyFill="1" applyBorder="1" applyAlignment="1">
      <alignment horizontal="center" vertical="center"/>
    </xf>
    <xf numFmtId="0" fontId="22" fillId="11" borderId="11" xfId="0" applyFont="1" applyFill="1" applyBorder="1" applyAlignment="1">
      <alignment horizontal="center" vertical="center"/>
    </xf>
    <xf numFmtId="0" fontId="22" fillId="11" borderId="12" xfId="0" applyFont="1" applyFill="1" applyBorder="1" applyAlignment="1">
      <alignment horizontal="center" vertical="center"/>
    </xf>
    <xf numFmtId="0" fontId="22" fillId="11" borderId="10" xfId="0" applyFont="1" applyFill="1" applyBorder="1" applyAlignment="1">
      <alignment horizontal="center"/>
    </xf>
    <xf numFmtId="0" fontId="22" fillId="11" borderId="11" xfId="0" applyFont="1" applyFill="1" applyBorder="1" applyAlignment="1">
      <alignment horizontal="center"/>
    </xf>
    <xf numFmtId="0" fontId="22" fillId="11" borderId="12" xfId="0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5" fillId="8" borderId="5" xfId="0" applyFont="1" applyFill="1" applyBorder="1" applyAlignment="1">
      <alignment horizontal="center" vertical="center" wrapText="1" readingOrder="1"/>
    </xf>
    <xf numFmtId="0" fontId="15" fillId="8" borderId="6" xfId="0" applyFont="1" applyFill="1" applyBorder="1" applyAlignment="1">
      <alignment horizontal="center" vertical="center" wrapText="1" readingOrder="1"/>
    </xf>
    <xf numFmtId="0" fontId="15" fillId="8" borderId="7" xfId="0" applyFont="1" applyFill="1" applyBorder="1" applyAlignment="1">
      <alignment horizontal="center" vertical="center" wrapText="1" readingOrder="1"/>
    </xf>
    <xf numFmtId="0" fontId="16" fillId="9" borderId="5" xfId="0" applyFont="1" applyFill="1" applyBorder="1" applyAlignment="1">
      <alignment horizontal="center" vertical="center" wrapText="1" readingOrder="1"/>
    </xf>
    <xf numFmtId="0" fontId="16" fillId="9" borderId="7" xfId="0" applyFont="1" applyFill="1" applyBorder="1" applyAlignment="1">
      <alignment horizontal="center" vertical="center" wrapText="1" readingOrder="1"/>
    </xf>
    <xf numFmtId="0" fontId="17" fillId="8" borderId="4" xfId="0" applyFont="1" applyFill="1" applyBorder="1" applyAlignment="1">
      <alignment horizontal="center" vertical="center" wrapText="1" readingOrder="1"/>
    </xf>
    <xf numFmtId="0" fontId="17" fillId="8" borderId="8" xfId="0" applyFont="1" applyFill="1" applyBorder="1" applyAlignment="1">
      <alignment horizontal="center" vertical="center" wrapText="1" readingOrder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cap="none" spc="50" normalizeH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j-ea"/>
              <a:cs typeface="+mj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Advisor!$AA$8</c:f>
              <c:strCache>
                <c:ptCount val="1"/>
                <c:pt idx="0">
                  <c:v>Accumulated Earnings</c:v>
                </c:pt>
              </c:strCache>
            </c:strRef>
          </c:tx>
          <c:spPr>
            <a:solidFill>
              <a:schemeClr val="accent6">
                <a:alpha val="70000"/>
              </a:schemeClr>
            </a:solidFill>
            <a:ln>
              <a:noFill/>
            </a:ln>
            <a:effectLst/>
          </c:spPr>
          <c:invertIfNegative val="0"/>
          <c:cat>
            <c:strRef>
              <c:f>Advisor!$Z$9:$Z$14</c:f>
              <c:strCache>
                <c:ptCount val="6"/>
                <c:pt idx="0">
                  <c:v>M3</c:v>
                </c:pt>
                <c:pt idx="1">
                  <c:v>M6</c:v>
                </c:pt>
                <c:pt idx="2">
                  <c:v>M12</c:v>
                </c:pt>
                <c:pt idx="3">
                  <c:v>M18</c:v>
                </c:pt>
                <c:pt idx="4">
                  <c:v>M24</c:v>
                </c:pt>
                <c:pt idx="5">
                  <c:v>M36</c:v>
                </c:pt>
              </c:strCache>
            </c:strRef>
          </c:cat>
          <c:val>
            <c:numRef>
              <c:f>Advisor!$AA$9:$AA$14</c:f>
              <c:numCache>
                <c:formatCode>_(* #,##0_);_(* \(#,##0\);_(* "-"?_);_(@_)</c:formatCode>
                <c:ptCount val="6"/>
                <c:pt idx="0">
                  <c:v>450000</c:v>
                </c:pt>
                <c:pt idx="1">
                  <c:v>882000</c:v>
                </c:pt>
                <c:pt idx="2">
                  <c:v>1777500</c:v>
                </c:pt>
                <c:pt idx="3">
                  <c:v>3376500</c:v>
                </c:pt>
                <c:pt idx="4">
                  <c:v>5013300</c:v>
                </c:pt>
                <c:pt idx="5">
                  <c:v>8717400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40-402E-8AFD-76AC2A73D0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25"/>
        <c:axId val="326838816"/>
        <c:axId val="340692464"/>
      </c:barChart>
      <c:catAx>
        <c:axId val="326838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587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0692464"/>
        <c:crosses val="autoZero"/>
        <c:auto val="1"/>
        <c:lblAlgn val="ctr"/>
        <c:lblOffset val="100"/>
        <c:noMultiLvlLbl val="0"/>
      </c:catAx>
      <c:valAx>
        <c:axId val="340692464"/>
        <c:scaling>
          <c:orientation val="minMax"/>
          <c:min val="0"/>
        </c:scaling>
        <c:delete val="0"/>
        <c:axPos val="l"/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6838816"/>
        <c:crosses val="autoZero"/>
        <c:crossBetween val="between"/>
        <c:minorUnit val="200000"/>
        <c:dispUnits>
          <c:builtInUnit val="millions"/>
          <c:dispUnitsLbl>
            <c:layout>
              <c:manualLayout>
                <c:xMode val="edge"/>
                <c:yMode val="edge"/>
                <c:x val="2.2222222222222223E-2"/>
                <c:y val="0.41912037037037037"/>
              </c:manualLayout>
            </c:layout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</c:dispUnitsLbl>
        </c:dispUnits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cap="none" spc="50" normalizeH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j-ea"/>
              <a:cs typeface="+mj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'Unit Manager'!$AI$8</c:f>
              <c:strCache>
                <c:ptCount val="1"/>
                <c:pt idx="0">
                  <c:v>Accumulated Earnings</c:v>
                </c:pt>
              </c:strCache>
            </c:strRef>
          </c:tx>
          <c:spPr>
            <a:solidFill>
              <a:schemeClr val="accent6">
                <a:alpha val="70000"/>
              </a:schemeClr>
            </a:solidFill>
            <a:ln>
              <a:noFill/>
            </a:ln>
            <a:effectLst/>
          </c:spPr>
          <c:invertIfNegative val="0"/>
          <c:cat>
            <c:strRef>
              <c:f>'Unit Manager'!$AH$9:$AH$14</c:f>
              <c:strCache>
                <c:ptCount val="6"/>
                <c:pt idx="0">
                  <c:v>M3</c:v>
                </c:pt>
                <c:pt idx="1">
                  <c:v>M6</c:v>
                </c:pt>
                <c:pt idx="2">
                  <c:v>M12</c:v>
                </c:pt>
                <c:pt idx="3">
                  <c:v>M18</c:v>
                </c:pt>
                <c:pt idx="4">
                  <c:v>M24</c:v>
                </c:pt>
                <c:pt idx="5">
                  <c:v>M36</c:v>
                </c:pt>
              </c:strCache>
            </c:strRef>
          </c:cat>
          <c:val>
            <c:numRef>
              <c:f>'Unit Manager'!$AI$9:$AI$14</c:f>
              <c:numCache>
                <c:formatCode>_(* #,##0_);_(* \(#,##0\);_(* "-"?_);_(@_)</c:formatCode>
                <c:ptCount val="6"/>
                <c:pt idx="0">
                  <c:v>374040</c:v>
                </c:pt>
                <c:pt idx="1">
                  <c:v>768240</c:v>
                </c:pt>
                <c:pt idx="2">
                  <c:v>1716480</c:v>
                </c:pt>
                <c:pt idx="3">
                  <c:v>3363420</c:v>
                </c:pt>
                <c:pt idx="4">
                  <c:v>5298600</c:v>
                </c:pt>
                <c:pt idx="5">
                  <c:v>10080860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0D-4891-A9F8-074A68B825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25"/>
        <c:axId val="326838816"/>
        <c:axId val="340692464"/>
      </c:barChart>
      <c:catAx>
        <c:axId val="326838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587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0692464"/>
        <c:crosses val="autoZero"/>
        <c:auto val="1"/>
        <c:lblAlgn val="ctr"/>
        <c:lblOffset val="100"/>
        <c:noMultiLvlLbl val="0"/>
      </c:catAx>
      <c:valAx>
        <c:axId val="340692464"/>
        <c:scaling>
          <c:orientation val="minMax"/>
          <c:min val="0"/>
        </c:scaling>
        <c:delete val="0"/>
        <c:axPos val="l"/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6838816"/>
        <c:crosses val="autoZero"/>
        <c:crossBetween val="between"/>
        <c:minorUnit val="200000"/>
        <c:dispUnits>
          <c:builtInUnit val="millions"/>
          <c:dispUnitsLbl>
            <c:layout>
              <c:manualLayout>
                <c:xMode val="edge"/>
                <c:yMode val="edge"/>
                <c:x val="2.2222222222222223E-2"/>
                <c:y val="0.41912037037037037"/>
              </c:manualLayout>
            </c:layout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</c:dispUnitsLbl>
        </c:dispUnits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5-Year</a:t>
            </a:r>
            <a:r>
              <a:rPr lang="en-US" baseline="0"/>
              <a:t> </a:t>
            </a:r>
            <a:r>
              <a:rPr lang="en-US"/>
              <a:t>Income Summary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'Advisor-Leader'!$C$35</c:f>
              <c:strCache>
                <c:ptCount val="1"/>
                <c:pt idx="0">
                  <c:v>Annual ('m)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cat>
            <c:strRef>
              <c:f>'Advisor-Leader'!$B$36:$B$40</c:f>
              <c:strCache>
                <c:ptCount val="5"/>
                <c:pt idx="0">
                  <c:v>Y1</c:v>
                </c:pt>
                <c:pt idx="1">
                  <c:v>Y2</c:v>
                </c:pt>
                <c:pt idx="2">
                  <c:v>Y3</c:v>
                </c:pt>
                <c:pt idx="3">
                  <c:v>Y4</c:v>
                </c:pt>
                <c:pt idx="4">
                  <c:v>Y5</c:v>
                </c:pt>
              </c:strCache>
            </c:strRef>
          </c:cat>
          <c:val>
            <c:numRef>
              <c:f>'Advisor-Leader'!$C$36:$C$40</c:f>
              <c:numCache>
                <c:formatCode>_(* #,##0.00_);_(* \(#,##0.00\);_(* "-"??_);_(@_)</c:formatCode>
                <c:ptCount val="5"/>
                <c:pt idx="0">
                  <c:v>1.8089999999999999</c:v>
                </c:pt>
                <c:pt idx="1">
                  <c:v>3.3275999999999999</c:v>
                </c:pt>
                <c:pt idx="2">
                  <c:v>5.8330799999999998</c:v>
                </c:pt>
                <c:pt idx="3">
                  <c:v>8.0894399999999997</c:v>
                </c:pt>
                <c:pt idx="4">
                  <c:v>10.266719999999999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E16-4CBF-A155-D1DC0754CF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15220943"/>
        <c:axId val="2030034719"/>
      </c:barChart>
      <c:lineChart>
        <c:grouping val="standard"/>
        <c:varyColors val="0"/>
        <c:ser>
          <c:idx val="1"/>
          <c:order val="1"/>
          <c:tx>
            <c:strRef>
              <c:f>'Advisor-Leader'!$D$35</c:f>
              <c:strCache>
                <c:ptCount val="1"/>
                <c:pt idx="0">
                  <c:v>Monthly ('k)</c:v>
                </c:pt>
              </c:strCache>
            </c:strRef>
          </c:tx>
          <c:spPr>
            <a:ln w="317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'Advisor-Leader'!$B$36:$B$40</c:f>
              <c:strCache>
                <c:ptCount val="5"/>
                <c:pt idx="0">
                  <c:v>Y1</c:v>
                </c:pt>
                <c:pt idx="1">
                  <c:v>Y2</c:v>
                </c:pt>
                <c:pt idx="2">
                  <c:v>Y3</c:v>
                </c:pt>
                <c:pt idx="3">
                  <c:v>Y4</c:v>
                </c:pt>
                <c:pt idx="4">
                  <c:v>Y5</c:v>
                </c:pt>
              </c:strCache>
            </c:strRef>
          </c:cat>
          <c:val>
            <c:numRef>
              <c:f>'Advisor-Leader'!$D$36:$D$40</c:f>
              <c:numCache>
                <c:formatCode>_(* #,##0_);_(* \(#,##0\);_(* "-"??_);_(@_)</c:formatCode>
                <c:ptCount val="5"/>
                <c:pt idx="0">
                  <c:v>150.75</c:v>
                </c:pt>
                <c:pt idx="1">
                  <c:v>277.3</c:v>
                </c:pt>
                <c:pt idx="2">
                  <c:v>486.09</c:v>
                </c:pt>
                <c:pt idx="3">
                  <c:v>674.12</c:v>
                </c:pt>
                <c:pt idx="4">
                  <c:v>855.56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E16-4CBF-A155-D1DC0754CF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75238991"/>
        <c:axId val="2037689903"/>
      </c:lineChart>
      <c:catAx>
        <c:axId val="21152209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30034719"/>
        <c:crosses val="autoZero"/>
        <c:auto val="1"/>
        <c:lblAlgn val="ctr"/>
        <c:lblOffset val="100"/>
        <c:noMultiLvlLbl val="0"/>
      </c:catAx>
      <c:valAx>
        <c:axId val="2030034719"/>
        <c:scaling>
          <c:orientation val="minMax"/>
          <c:min val="0"/>
        </c:scaling>
        <c:delete val="0"/>
        <c:axPos val="l"/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15220943"/>
        <c:crosses val="autoZero"/>
        <c:crossBetween val="between"/>
      </c:valAx>
      <c:valAx>
        <c:axId val="2037689903"/>
        <c:scaling>
          <c:orientation val="minMax"/>
        </c:scaling>
        <c:delete val="0"/>
        <c:axPos val="r"/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75238991"/>
        <c:crosses val="max"/>
        <c:crossBetween val="between"/>
      </c:valAx>
      <c:catAx>
        <c:axId val="1875238991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2037689903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>
            <a:solidFill>
              <a:schemeClr val="tx2">
                <a:lumMod val="15000"/>
                <a:lumOff val="8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587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 cap="none" spc="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>
            <a:alpha val="70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 baseline="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1600" b="0" i="0" kern="1200" cap="none" spc="5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1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587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 cap="none" spc="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>
            <a:alpha val="70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 baseline="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1600" b="0" i="0" kern="1200" cap="none" spc="5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326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dk1">
            <a:lumMod val="75000"/>
            <a:lumOff val="2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dk1">
            <a:lumMod val="75000"/>
            <a:lumOff val="25000"/>
          </a:schemeClr>
        </a:solidFill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209550</xdr:colOff>
      <xdr:row>14</xdr:row>
      <xdr:rowOff>152400</xdr:rowOff>
    </xdr:from>
    <xdr:to>
      <xdr:col>32</xdr:col>
      <xdr:colOff>85725</xdr:colOff>
      <xdr:row>29</xdr:row>
      <xdr:rowOff>38100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8F7F8D3-2876-4E19-A5BE-CFF9EC3B047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209550</xdr:colOff>
      <xdr:row>14</xdr:row>
      <xdr:rowOff>152400</xdr:rowOff>
    </xdr:from>
    <xdr:to>
      <xdr:col>40</xdr:col>
      <xdr:colOff>85725</xdr:colOff>
      <xdr:row>29</xdr:row>
      <xdr:rowOff>38100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997063D-746C-477B-8B80-D02DC6E6A2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32</xdr:row>
      <xdr:rowOff>180975</xdr:rowOff>
    </xdr:from>
    <xdr:to>
      <xdr:col>8</xdr:col>
      <xdr:colOff>276225</xdr:colOff>
      <xdr:row>47</xdr:row>
      <xdr:rowOff>66675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DF6BC24-853A-42D9-BEFE-885DC011C70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CZ45"/>
  <sheetViews>
    <sheetView showGridLines="0" tabSelected="1" workbookViewId="0">
      <selection activeCell="H11" sqref="H11"/>
    </sheetView>
  </sheetViews>
  <sheetFormatPr defaultRowHeight="14.4" x14ac:dyDescent="0.3"/>
  <cols>
    <col min="1" max="1" width="2.33203125" customWidth="1"/>
    <col min="12" max="12" width="2.33203125" style="7" customWidth="1"/>
    <col min="13" max="13" width="2.5546875" customWidth="1"/>
    <col min="14" max="14" width="9.109375" customWidth="1"/>
    <col min="16" max="16" width="11" bestFit="1" customWidth="1"/>
    <col min="17" max="17" width="10" bestFit="1" customWidth="1"/>
    <col min="19" max="20" width="0" hidden="1" customWidth="1"/>
    <col min="21" max="23" width="10" bestFit="1" customWidth="1"/>
    <col min="24" max="24" width="13.44140625" bestFit="1" customWidth="1"/>
    <col min="25" max="25" width="3.5546875" customWidth="1"/>
    <col min="27" max="27" width="18.33203125" bestFit="1" customWidth="1"/>
    <col min="28" max="28" width="2.88671875" customWidth="1"/>
    <col min="78" max="79" width="9.109375" hidden="1" customWidth="1"/>
    <col min="80" max="80" width="11.5546875" hidden="1" customWidth="1"/>
    <col min="81" max="81" width="9.5546875" hidden="1" customWidth="1"/>
    <col min="82" max="82" width="9.109375" hidden="1" customWidth="1"/>
    <col min="83" max="83" width="11.5546875" hidden="1" customWidth="1"/>
    <col min="84" max="89" width="9.109375" hidden="1" customWidth="1"/>
    <col min="90" max="90" width="10.5546875" hidden="1" customWidth="1"/>
    <col min="91" max="91" width="9.5546875" hidden="1" customWidth="1"/>
    <col min="92" max="92" width="2.88671875" hidden="1" customWidth="1"/>
    <col min="93" max="95" width="9.109375" hidden="1" customWidth="1"/>
    <col min="96" max="96" width="13.33203125" hidden="1" customWidth="1"/>
    <col min="97" max="97" width="11.5546875" hidden="1" customWidth="1"/>
    <col min="98" max="99" width="9.109375" hidden="1" customWidth="1"/>
    <col min="100" max="104" width="8.88671875" customWidth="1"/>
  </cols>
  <sheetData>
    <row r="2" spans="2:99" ht="33.6" x14ac:dyDescent="0.65">
      <c r="B2" s="4" t="s">
        <v>1</v>
      </c>
      <c r="N2" s="1"/>
    </row>
    <row r="3" spans="2:99" x14ac:dyDescent="0.3">
      <c r="B3" s="2" t="s">
        <v>0</v>
      </c>
    </row>
    <row r="4" spans="2:99" ht="8.25" customHeight="1" x14ac:dyDescent="0.3"/>
    <row r="5" spans="2:99" ht="18" x14ac:dyDescent="0.35">
      <c r="B5" s="3" t="s">
        <v>2</v>
      </c>
      <c r="N5" s="3" t="s">
        <v>27</v>
      </c>
      <c r="Z5" s="3" t="s">
        <v>104</v>
      </c>
    </row>
    <row r="6" spans="2:99" ht="5.25" customHeight="1" x14ac:dyDescent="0.3"/>
    <row r="7" spans="2:99" x14ac:dyDescent="0.3">
      <c r="B7" t="s">
        <v>3</v>
      </c>
      <c r="E7" s="47">
        <v>5</v>
      </c>
      <c r="F7" t="s">
        <v>4</v>
      </c>
      <c r="N7" s="46" t="s">
        <v>102</v>
      </c>
      <c r="BZ7" s="1" t="s">
        <v>91</v>
      </c>
    </row>
    <row r="8" spans="2:99" x14ac:dyDescent="0.3">
      <c r="B8" t="s">
        <v>5</v>
      </c>
      <c r="G8" s="48">
        <v>80000</v>
      </c>
      <c r="N8" s="9" t="s">
        <v>38</v>
      </c>
      <c r="O8" s="9" t="s">
        <v>66</v>
      </c>
      <c r="P8" s="9" t="s">
        <v>68</v>
      </c>
      <c r="Q8" s="9" t="s">
        <v>65</v>
      </c>
      <c r="R8" s="9" t="s">
        <v>67</v>
      </c>
      <c r="S8" s="9" t="s">
        <v>89</v>
      </c>
      <c r="T8" s="9" t="s">
        <v>90</v>
      </c>
      <c r="U8" s="9" t="s">
        <v>70</v>
      </c>
      <c r="V8" s="9" t="s">
        <v>69</v>
      </c>
      <c r="W8" s="9" t="s">
        <v>71</v>
      </c>
      <c r="X8" s="9" t="s">
        <v>72</v>
      </c>
      <c r="Z8" s="9" t="s">
        <v>38</v>
      </c>
      <c r="AA8" s="9" t="s">
        <v>105</v>
      </c>
      <c r="BZ8" s="9" t="s">
        <v>92</v>
      </c>
      <c r="CA8" s="9" t="s">
        <v>66</v>
      </c>
      <c r="CB8" s="9" t="s">
        <v>93</v>
      </c>
      <c r="CC8" s="9" t="s">
        <v>65</v>
      </c>
      <c r="CD8" s="9" t="s">
        <v>95</v>
      </c>
      <c r="CE8" s="9" t="s">
        <v>193</v>
      </c>
      <c r="CF8" s="9" t="s">
        <v>97</v>
      </c>
      <c r="CG8" s="9" t="s">
        <v>67</v>
      </c>
      <c r="CH8" s="9" t="s">
        <v>98</v>
      </c>
      <c r="CI8" s="9" t="s">
        <v>99</v>
      </c>
      <c r="CJ8" s="9" t="s">
        <v>100</v>
      </c>
      <c r="CK8" s="9" t="s">
        <v>101</v>
      </c>
      <c r="CL8" s="9" t="s">
        <v>70</v>
      </c>
      <c r="CM8" s="9" t="s">
        <v>69</v>
      </c>
      <c r="CO8" s="9" t="s">
        <v>86</v>
      </c>
      <c r="CP8" s="9" t="s">
        <v>92</v>
      </c>
      <c r="CQ8" s="9" t="s">
        <v>66</v>
      </c>
      <c r="CR8" s="9" t="s">
        <v>93</v>
      </c>
      <c r="CS8" s="9" t="s">
        <v>65</v>
      </c>
      <c r="CT8" s="9" t="s">
        <v>103</v>
      </c>
      <c r="CU8" s="9" t="s">
        <v>71</v>
      </c>
    </row>
    <row r="9" spans="2:99" x14ac:dyDescent="0.3">
      <c r="B9" t="s">
        <v>6</v>
      </c>
      <c r="E9" s="48">
        <v>12</v>
      </c>
      <c r="F9" t="s">
        <v>63</v>
      </c>
      <c r="N9" s="10" t="s">
        <v>28</v>
      </c>
      <c r="O9" s="50">
        <f t="shared" ref="O9:O44" si="0">CA9</f>
        <v>5</v>
      </c>
      <c r="P9" s="51">
        <f t="shared" ref="P9:P44" si="1">CB9</f>
        <v>400000</v>
      </c>
      <c r="Q9" s="52">
        <f t="shared" ref="Q9:Q44" si="2">CC9</f>
        <v>120000</v>
      </c>
      <c r="R9" s="52">
        <f t="shared" ref="R9:R44" si="3">CG9</f>
        <v>0</v>
      </c>
      <c r="S9" s="52">
        <f t="shared" ref="S9:S44" si="4">CI9</f>
        <v>0</v>
      </c>
      <c r="T9" s="52">
        <f t="shared" ref="T9:T44" si="5">CK9</f>
        <v>0</v>
      </c>
      <c r="U9" s="51">
        <f t="shared" ref="U9:U44" si="6">CL9</f>
        <v>0</v>
      </c>
      <c r="V9" s="53">
        <f t="shared" ref="V9:V44" si="7">CM9</f>
        <v>0</v>
      </c>
      <c r="W9" s="53">
        <f t="shared" ref="W9:W44" si="8">IF($B$11="Y",CU9,0)</f>
        <v>0</v>
      </c>
      <c r="X9" s="52">
        <f>SUM(Q9:W9)</f>
        <v>120000</v>
      </c>
      <c r="Z9" s="54" t="s">
        <v>9</v>
      </c>
      <c r="AA9" s="55">
        <f>SUM(X9:X11)</f>
        <v>450000</v>
      </c>
      <c r="BZ9" s="5">
        <f>IF($E$9&gt;=6,1,0)</f>
        <v>1</v>
      </c>
      <c r="CA9" s="31">
        <f>BZ9*$E$7</f>
        <v>5</v>
      </c>
      <c r="CB9" s="32">
        <f>CA9*$G$8</f>
        <v>400000</v>
      </c>
      <c r="CC9" s="33">
        <f>CB9*0.3</f>
        <v>120000</v>
      </c>
      <c r="CD9" s="31">
        <f>CA9*3</f>
        <v>15</v>
      </c>
      <c r="CE9" s="34">
        <f>CB9*2</f>
        <v>800000</v>
      </c>
      <c r="CF9" s="40"/>
      <c r="CG9" s="33"/>
      <c r="CH9" s="40">
        <v>0</v>
      </c>
      <c r="CI9" s="33"/>
      <c r="CJ9" s="40">
        <v>0</v>
      </c>
      <c r="CK9" s="33"/>
      <c r="CL9" s="32">
        <v>0</v>
      </c>
      <c r="CO9" s="32">
        <v>0</v>
      </c>
      <c r="CP9" s="5">
        <f>IF($G$22&gt;=6,1,0)</f>
        <v>1</v>
      </c>
      <c r="CQ9" s="32">
        <f>CP9*$G$20*CO9</f>
        <v>0</v>
      </c>
      <c r="CR9" s="32">
        <f>CQ9*$H$21</f>
        <v>0</v>
      </c>
      <c r="CS9" s="32">
        <f>CR9*0.3</f>
        <v>0</v>
      </c>
      <c r="CT9" s="40">
        <f>IF($G$20&gt;=2,15%,7.5%)</f>
        <v>0.15</v>
      </c>
      <c r="CU9" s="34">
        <f>CT9*CS9</f>
        <v>0</v>
      </c>
    </row>
    <row r="10" spans="2:99" x14ac:dyDescent="0.3">
      <c r="N10" s="10" t="s">
        <v>29</v>
      </c>
      <c r="O10" s="50">
        <f t="shared" si="0"/>
        <v>5</v>
      </c>
      <c r="P10" s="51">
        <f t="shared" si="1"/>
        <v>400000</v>
      </c>
      <c r="Q10" s="52">
        <f t="shared" si="2"/>
        <v>120000</v>
      </c>
      <c r="R10" s="52">
        <f t="shared" si="3"/>
        <v>0</v>
      </c>
      <c r="S10" s="52">
        <f t="shared" si="4"/>
        <v>0</v>
      </c>
      <c r="T10" s="52">
        <f t="shared" si="5"/>
        <v>0</v>
      </c>
      <c r="U10" s="51">
        <f t="shared" si="6"/>
        <v>0</v>
      </c>
      <c r="V10" s="53">
        <f t="shared" si="7"/>
        <v>0</v>
      </c>
      <c r="W10" s="53">
        <f t="shared" si="8"/>
        <v>0</v>
      </c>
      <c r="X10" s="52">
        <f t="shared" ref="X10:X44" si="9">SUM(Q10:W10)</f>
        <v>120000</v>
      </c>
      <c r="Z10" s="54" t="s">
        <v>10</v>
      </c>
      <c r="AA10" s="55">
        <f>SUM(X9:X14)</f>
        <v>882000</v>
      </c>
      <c r="BZ10" s="5">
        <f>IF($E$9&gt;=5,1,0)</f>
        <v>1</v>
      </c>
      <c r="CA10" s="31">
        <f>BZ10*$E$7</f>
        <v>5</v>
      </c>
      <c r="CB10" s="32">
        <f t="shared" ref="CB10:CB44" si="10">CA10*$G$8</f>
        <v>400000</v>
      </c>
      <c r="CC10" s="33">
        <f t="shared" ref="CC10:CC44" si="11">CB10*0.3</f>
        <v>120000</v>
      </c>
      <c r="CD10" s="31">
        <f>(CA10*2)+CA9</f>
        <v>15</v>
      </c>
      <c r="CE10" s="34">
        <f>CE9+CB10</f>
        <v>1200000</v>
      </c>
      <c r="CF10" s="40"/>
      <c r="CG10" s="33"/>
      <c r="CH10" s="40">
        <v>0</v>
      </c>
      <c r="CI10" s="33"/>
      <c r="CJ10" s="40">
        <v>0</v>
      </c>
      <c r="CK10" s="33"/>
      <c r="CL10" s="32">
        <v>0</v>
      </c>
      <c r="CO10" s="32">
        <v>0</v>
      </c>
      <c r="CP10" s="5">
        <f>IF($G$22&gt;=5,1,0)</f>
        <v>1</v>
      </c>
      <c r="CQ10" s="32">
        <f t="shared" ref="CQ10:CQ44" si="12">CP10*$G$20*CO10</f>
        <v>0</v>
      </c>
      <c r="CR10" s="32">
        <f t="shared" ref="CR10:CR44" si="13">CQ10*$H$21</f>
        <v>0</v>
      </c>
      <c r="CS10" s="32">
        <f t="shared" ref="CS10:CS44" si="14">CR10*0.3</f>
        <v>0</v>
      </c>
      <c r="CT10" s="40">
        <f t="shared" ref="CT10:CT44" si="15">IF($G$20&gt;=2,15%,7.5%)</f>
        <v>0.15</v>
      </c>
      <c r="CU10" s="34">
        <f t="shared" ref="CU10:CU34" si="16">CT10*CS10</f>
        <v>0</v>
      </c>
    </row>
    <row r="11" spans="2:99" x14ac:dyDescent="0.3">
      <c r="B11" s="48" t="s">
        <v>74</v>
      </c>
      <c r="C11" t="s">
        <v>7</v>
      </c>
      <c r="N11" s="10" t="s">
        <v>9</v>
      </c>
      <c r="O11" s="50">
        <f t="shared" si="0"/>
        <v>5</v>
      </c>
      <c r="P11" s="51">
        <f t="shared" si="1"/>
        <v>400000</v>
      </c>
      <c r="Q11" s="52">
        <f t="shared" si="2"/>
        <v>120000</v>
      </c>
      <c r="R11" s="52">
        <f t="shared" si="3"/>
        <v>90000</v>
      </c>
      <c r="S11" s="52">
        <f t="shared" si="4"/>
        <v>0</v>
      </c>
      <c r="T11" s="52">
        <f t="shared" si="5"/>
        <v>0</v>
      </c>
      <c r="U11" s="51">
        <f t="shared" si="6"/>
        <v>0</v>
      </c>
      <c r="V11" s="53">
        <f t="shared" si="7"/>
        <v>0</v>
      </c>
      <c r="W11" s="53">
        <f t="shared" si="8"/>
        <v>0</v>
      </c>
      <c r="X11" s="52">
        <f t="shared" si="9"/>
        <v>210000</v>
      </c>
      <c r="Z11" s="54" t="s">
        <v>37</v>
      </c>
      <c r="AA11" s="55">
        <f>SUM(X9:X20)</f>
        <v>1777500</v>
      </c>
      <c r="BZ11" s="5">
        <v>1</v>
      </c>
      <c r="CA11" s="31">
        <f>BZ11*$E$7</f>
        <v>5</v>
      </c>
      <c r="CB11" s="32">
        <f t="shared" si="10"/>
        <v>400000</v>
      </c>
      <c r="CC11" s="33">
        <f t="shared" si="11"/>
        <v>120000</v>
      </c>
      <c r="CD11" s="31">
        <f>SUM(CA9:CA11)</f>
        <v>15</v>
      </c>
      <c r="CE11" s="34">
        <f>CE10+CB11</f>
        <v>1600000</v>
      </c>
      <c r="CF11" s="40">
        <f>VLOOKUP(CE11,REF!$J$4:$K$10,2,1)</f>
        <v>0.25</v>
      </c>
      <c r="CG11" s="33">
        <f>SUM(CC9:CC11)*CF11</f>
        <v>90000</v>
      </c>
      <c r="CH11" s="40">
        <v>0</v>
      </c>
      <c r="CI11" s="33"/>
      <c r="CJ11" s="40">
        <v>0</v>
      </c>
      <c r="CK11" s="33"/>
      <c r="CL11" s="32">
        <v>0</v>
      </c>
      <c r="CO11" s="32">
        <f>C15</f>
        <v>0</v>
      </c>
      <c r="CP11" s="5">
        <v>1</v>
      </c>
      <c r="CQ11" s="32">
        <f t="shared" si="12"/>
        <v>0</v>
      </c>
      <c r="CR11" s="32">
        <f t="shared" si="13"/>
        <v>0</v>
      </c>
      <c r="CS11" s="32">
        <f t="shared" si="14"/>
        <v>0</v>
      </c>
      <c r="CT11" s="40">
        <f t="shared" si="15"/>
        <v>0.15</v>
      </c>
      <c r="CU11" s="34">
        <f t="shared" si="16"/>
        <v>0</v>
      </c>
    </row>
    <row r="12" spans="2:99" x14ac:dyDescent="0.3">
      <c r="N12" s="10" t="s">
        <v>30</v>
      </c>
      <c r="O12" s="50">
        <f t="shared" si="0"/>
        <v>5</v>
      </c>
      <c r="P12" s="51">
        <f t="shared" si="1"/>
        <v>400000</v>
      </c>
      <c r="Q12" s="52">
        <f t="shared" si="2"/>
        <v>120000</v>
      </c>
      <c r="R12" s="52">
        <f t="shared" si="3"/>
        <v>0</v>
      </c>
      <c r="S12" s="52">
        <f t="shared" si="4"/>
        <v>0</v>
      </c>
      <c r="T12" s="52">
        <f t="shared" si="5"/>
        <v>0</v>
      </c>
      <c r="U12" s="51">
        <f t="shared" si="6"/>
        <v>0</v>
      </c>
      <c r="V12" s="53">
        <f t="shared" si="7"/>
        <v>0</v>
      </c>
      <c r="W12" s="53">
        <f t="shared" si="8"/>
        <v>0</v>
      </c>
      <c r="X12" s="52">
        <f t="shared" si="9"/>
        <v>120000</v>
      </c>
      <c r="Z12" s="54" t="s">
        <v>44</v>
      </c>
      <c r="AA12" s="55">
        <f>SUM(X9:X26)</f>
        <v>3376500</v>
      </c>
      <c r="BZ12" s="5">
        <f>IF($E$9=12,1,0)</f>
        <v>1</v>
      </c>
      <c r="CA12" s="31">
        <f>BZ12*$E$7</f>
        <v>5</v>
      </c>
      <c r="CB12" s="32">
        <f t="shared" si="10"/>
        <v>400000</v>
      </c>
      <c r="CC12" s="33">
        <f t="shared" si="11"/>
        <v>120000</v>
      </c>
      <c r="CD12" s="31">
        <f t="shared" ref="CD12:CD44" si="17">SUM(CA10:CA12)</f>
        <v>15</v>
      </c>
      <c r="CE12" s="34">
        <f>CB12</f>
        <v>400000</v>
      </c>
      <c r="CF12" s="40"/>
      <c r="CG12" s="33"/>
      <c r="CH12" s="40">
        <v>0</v>
      </c>
      <c r="CI12" s="33"/>
      <c r="CJ12" s="40">
        <v>0</v>
      </c>
      <c r="CK12" s="33"/>
      <c r="CL12" s="32">
        <v>0</v>
      </c>
      <c r="CO12" s="32">
        <f>CO11</f>
        <v>0</v>
      </c>
      <c r="CP12" s="5">
        <f>IF($G$22=12,1,0)</f>
        <v>0</v>
      </c>
      <c r="CQ12" s="32">
        <f t="shared" si="12"/>
        <v>0</v>
      </c>
      <c r="CR12" s="32">
        <f t="shared" si="13"/>
        <v>0</v>
      </c>
      <c r="CS12" s="32">
        <f t="shared" si="14"/>
        <v>0</v>
      </c>
      <c r="CT12" s="40">
        <f t="shared" si="15"/>
        <v>0.15</v>
      </c>
      <c r="CU12" s="34">
        <f t="shared" si="16"/>
        <v>0</v>
      </c>
    </row>
    <row r="13" spans="2:99" x14ac:dyDescent="0.3">
      <c r="B13" t="s">
        <v>8</v>
      </c>
      <c r="N13" s="10" t="s">
        <v>31</v>
      </c>
      <c r="O13" s="50">
        <f t="shared" si="0"/>
        <v>5</v>
      </c>
      <c r="P13" s="51">
        <f t="shared" si="1"/>
        <v>400000</v>
      </c>
      <c r="Q13" s="52">
        <f t="shared" si="2"/>
        <v>120000</v>
      </c>
      <c r="R13" s="52">
        <f t="shared" si="3"/>
        <v>0</v>
      </c>
      <c r="S13" s="52">
        <f t="shared" si="4"/>
        <v>0</v>
      </c>
      <c r="T13" s="52">
        <f t="shared" si="5"/>
        <v>0</v>
      </c>
      <c r="U13" s="51">
        <f t="shared" si="6"/>
        <v>0</v>
      </c>
      <c r="V13" s="53">
        <f t="shared" si="7"/>
        <v>0</v>
      </c>
      <c r="W13" s="53">
        <f t="shared" si="8"/>
        <v>0</v>
      </c>
      <c r="X13" s="52">
        <f t="shared" si="9"/>
        <v>120000</v>
      </c>
      <c r="Z13" s="54" t="s">
        <v>50</v>
      </c>
      <c r="AA13" s="55">
        <f>SUM(X9:X32)</f>
        <v>5013300</v>
      </c>
      <c r="BZ13" s="5">
        <f>IF($E$9&gt;=10,1,0)</f>
        <v>1</v>
      </c>
      <c r="CA13" s="31">
        <f>BZ13*$E$7</f>
        <v>5</v>
      </c>
      <c r="CB13" s="32">
        <f t="shared" si="10"/>
        <v>400000</v>
      </c>
      <c r="CC13" s="33">
        <f t="shared" si="11"/>
        <v>120000</v>
      </c>
      <c r="CD13" s="31">
        <f t="shared" si="17"/>
        <v>15</v>
      </c>
      <c r="CE13" s="34">
        <f>CB13+CE12</f>
        <v>800000</v>
      </c>
      <c r="CF13" s="40"/>
      <c r="CG13" s="33"/>
      <c r="CH13" s="40">
        <v>0</v>
      </c>
      <c r="CI13" s="33"/>
      <c r="CJ13" s="40">
        <v>0</v>
      </c>
      <c r="CK13" s="33"/>
      <c r="CL13" s="32">
        <v>0</v>
      </c>
      <c r="CO13" s="32">
        <f>CO12</f>
        <v>0</v>
      </c>
      <c r="CP13" s="5">
        <f>IF($G$22&gt;=10,1,0)</f>
        <v>0</v>
      </c>
      <c r="CQ13" s="32">
        <f t="shared" si="12"/>
        <v>0</v>
      </c>
      <c r="CR13" s="32">
        <f t="shared" si="13"/>
        <v>0</v>
      </c>
      <c r="CS13" s="32">
        <f t="shared" si="14"/>
        <v>0</v>
      </c>
      <c r="CT13" s="40">
        <f t="shared" si="15"/>
        <v>0.15</v>
      </c>
      <c r="CU13" s="34">
        <f t="shared" si="16"/>
        <v>0</v>
      </c>
    </row>
    <row r="14" spans="2:99" x14ac:dyDescent="0.3">
      <c r="N14" s="10" t="s">
        <v>10</v>
      </c>
      <c r="O14" s="50">
        <f t="shared" si="0"/>
        <v>5</v>
      </c>
      <c r="P14" s="51">
        <f t="shared" si="1"/>
        <v>400000</v>
      </c>
      <c r="Q14" s="52">
        <f t="shared" si="2"/>
        <v>120000</v>
      </c>
      <c r="R14" s="52">
        <f t="shared" si="3"/>
        <v>72000</v>
      </c>
      <c r="S14" s="52">
        <f t="shared" si="4"/>
        <v>0</v>
      </c>
      <c r="T14" s="52">
        <f t="shared" si="5"/>
        <v>0</v>
      </c>
      <c r="U14" s="51">
        <f t="shared" si="6"/>
        <v>0</v>
      </c>
      <c r="V14" s="53">
        <f t="shared" si="7"/>
        <v>0</v>
      </c>
      <c r="W14" s="53">
        <f t="shared" si="8"/>
        <v>0</v>
      </c>
      <c r="X14" s="52">
        <f t="shared" si="9"/>
        <v>192000</v>
      </c>
      <c r="Z14" s="54" t="s">
        <v>62</v>
      </c>
      <c r="AA14" s="55">
        <f>X45</f>
        <v>8717400</v>
      </c>
      <c r="BZ14" s="5">
        <v>1</v>
      </c>
      <c r="CA14" s="31">
        <f t="shared" ref="CA14:CA44" si="18">BZ14*$E$7</f>
        <v>5</v>
      </c>
      <c r="CB14" s="32">
        <f t="shared" si="10"/>
        <v>400000</v>
      </c>
      <c r="CC14" s="33">
        <f t="shared" si="11"/>
        <v>120000</v>
      </c>
      <c r="CD14" s="31">
        <f t="shared" si="17"/>
        <v>15</v>
      </c>
      <c r="CE14" s="34">
        <f>CB14+CE13</f>
        <v>1200000</v>
      </c>
      <c r="CF14" s="40">
        <f>VLOOKUP(CE14,REF!$J$4:$K$10,2,1)</f>
        <v>0.2</v>
      </c>
      <c r="CG14" s="33">
        <f>SUM(CC12:CC14)*CF14</f>
        <v>72000</v>
      </c>
      <c r="CH14" s="40">
        <v>0</v>
      </c>
      <c r="CI14" s="33"/>
      <c r="CJ14" s="40">
        <v>0</v>
      </c>
      <c r="CK14" s="33"/>
      <c r="CL14" s="32">
        <v>0</v>
      </c>
      <c r="CO14" s="32">
        <f>CO13+C16</f>
        <v>0</v>
      </c>
      <c r="CP14" s="5">
        <v>1</v>
      </c>
      <c r="CQ14" s="32">
        <f t="shared" si="12"/>
        <v>0</v>
      </c>
      <c r="CR14" s="32">
        <f t="shared" si="13"/>
        <v>0</v>
      </c>
      <c r="CS14" s="32">
        <f t="shared" si="14"/>
        <v>0</v>
      </c>
      <c r="CT14" s="40">
        <f t="shared" si="15"/>
        <v>0.15</v>
      </c>
      <c r="CU14" s="34">
        <f t="shared" si="16"/>
        <v>0</v>
      </c>
    </row>
    <row r="15" spans="2:99" x14ac:dyDescent="0.3">
      <c r="B15" t="s">
        <v>11</v>
      </c>
      <c r="C15" s="49"/>
      <c r="D15" t="s">
        <v>15</v>
      </c>
      <c r="E15" s="49">
        <v>1</v>
      </c>
      <c r="F15" t="s">
        <v>19</v>
      </c>
      <c r="G15" s="49">
        <v>2</v>
      </c>
      <c r="H15" s="6"/>
      <c r="N15" s="10" t="s">
        <v>32</v>
      </c>
      <c r="O15" s="50">
        <f t="shared" si="0"/>
        <v>5</v>
      </c>
      <c r="P15" s="51">
        <f t="shared" si="1"/>
        <v>400000</v>
      </c>
      <c r="Q15" s="52">
        <f t="shared" si="2"/>
        <v>120000</v>
      </c>
      <c r="R15" s="52">
        <f t="shared" si="3"/>
        <v>0</v>
      </c>
      <c r="S15" s="52">
        <f t="shared" si="4"/>
        <v>0</v>
      </c>
      <c r="T15" s="52">
        <f t="shared" si="5"/>
        <v>0</v>
      </c>
      <c r="U15" s="51">
        <f t="shared" si="6"/>
        <v>0</v>
      </c>
      <c r="V15" s="53">
        <f t="shared" si="7"/>
        <v>0</v>
      </c>
      <c r="W15" s="53">
        <f t="shared" si="8"/>
        <v>0</v>
      </c>
      <c r="X15" s="52">
        <f t="shared" si="9"/>
        <v>120000</v>
      </c>
      <c r="BZ15" s="5">
        <f>IF($E$9&gt;=11,1,0)</f>
        <v>1</v>
      </c>
      <c r="CA15" s="31">
        <f t="shared" si="18"/>
        <v>5</v>
      </c>
      <c r="CB15" s="32">
        <f t="shared" si="10"/>
        <v>400000</v>
      </c>
      <c r="CC15" s="33">
        <f t="shared" si="11"/>
        <v>120000</v>
      </c>
      <c r="CD15" s="31">
        <f t="shared" si="17"/>
        <v>15</v>
      </c>
      <c r="CE15" s="34">
        <f>CB15</f>
        <v>400000</v>
      </c>
      <c r="CF15" s="40"/>
      <c r="CG15" s="33"/>
      <c r="CH15" s="40">
        <v>0</v>
      </c>
      <c r="CI15" s="33"/>
      <c r="CJ15" s="40">
        <v>0</v>
      </c>
      <c r="CK15" s="33"/>
      <c r="CL15" s="32">
        <v>0</v>
      </c>
      <c r="CO15" s="32">
        <f>CO14</f>
        <v>0</v>
      </c>
      <c r="CP15" s="5">
        <f>IF($G$22&gt;=11,1,0)</f>
        <v>0</v>
      </c>
      <c r="CQ15" s="32">
        <f t="shared" si="12"/>
        <v>0</v>
      </c>
      <c r="CR15" s="32">
        <f t="shared" si="13"/>
        <v>0</v>
      </c>
      <c r="CS15" s="32">
        <f t="shared" si="14"/>
        <v>0</v>
      </c>
      <c r="CT15" s="40">
        <f t="shared" si="15"/>
        <v>0.15</v>
      </c>
      <c r="CU15" s="34">
        <f t="shared" si="16"/>
        <v>0</v>
      </c>
    </row>
    <row r="16" spans="2:99" x14ac:dyDescent="0.3">
      <c r="B16" t="s">
        <v>12</v>
      </c>
      <c r="C16" s="49"/>
      <c r="D16" t="s">
        <v>16</v>
      </c>
      <c r="E16" s="49"/>
      <c r="F16" t="s">
        <v>20</v>
      </c>
      <c r="G16" s="49"/>
      <c r="H16" s="6"/>
      <c r="N16" s="10" t="s">
        <v>33</v>
      </c>
      <c r="O16" s="50">
        <f t="shared" si="0"/>
        <v>5</v>
      </c>
      <c r="P16" s="51">
        <f t="shared" si="1"/>
        <v>400000</v>
      </c>
      <c r="Q16" s="52">
        <f t="shared" si="2"/>
        <v>120000</v>
      </c>
      <c r="R16" s="52">
        <f t="shared" si="3"/>
        <v>0</v>
      </c>
      <c r="S16" s="52">
        <f t="shared" si="4"/>
        <v>0</v>
      </c>
      <c r="T16" s="52">
        <f t="shared" si="5"/>
        <v>0</v>
      </c>
      <c r="U16" s="51">
        <f t="shared" si="6"/>
        <v>0</v>
      </c>
      <c r="V16" s="53">
        <f t="shared" si="7"/>
        <v>0</v>
      </c>
      <c r="W16" s="53">
        <f t="shared" si="8"/>
        <v>0</v>
      </c>
      <c r="X16" s="52">
        <f t="shared" si="9"/>
        <v>120000</v>
      </c>
      <c r="BZ16" s="5">
        <f>IF($E$9&gt;=9,1,0)</f>
        <v>1</v>
      </c>
      <c r="CA16" s="31">
        <f t="shared" si="18"/>
        <v>5</v>
      </c>
      <c r="CB16" s="32">
        <f t="shared" si="10"/>
        <v>400000</v>
      </c>
      <c r="CC16" s="33">
        <f t="shared" si="11"/>
        <v>120000</v>
      </c>
      <c r="CD16" s="31">
        <f t="shared" si="17"/>
        <v>15</v>
      </c>
      <c r="CE16" s="34">
        <f>CB16+CE15</f>
        <v>800000</v>
      </c>
      <c r="CF16" s="40"/>
      <c r="CG16" s="33"/>
      <c r="CH16" s="40">
        <v>0</v>
      </c>
      <c r="CI16" s="33"/>
      <c r="CJ16" s="40">
        <v>0</v>
      </c>
      <c r="CK16" s="33"/>
      <c r="CL16" s="32">
        <v>0</v>
      </c>
      <c r="CO16" s="32">
        <f>CO15</f>
        <v>0</v>
      </c>
      <c r="CP16" s="5">
        <f>IF($G$22&gt;=9,1,0)</f>
        <v>0</v>
      </c>
      <c r="CQ16" s="32">
        <f t="shared" si="12"/>
        <v>0</v>
      </c>
      <c r="CR16" s="32">
        <f t="shared" si="13"/>
        <v>0</v>
      </c>
      <c r="CS16" s="32">
        <f t="shared" si="14"/>
        <v>0</v>
      </c>
      <c r="CT16" s="40">
        <f t="shared" si="15"/>
        <v>0.15</v>
      </c>
      <c r="CU16" s="34">
        <f t="shared" si="16"/>
        <v>0</v>
      </c>
    </row>
    <row r="17" spans="2:99" x14ac:dyDescent="0.3">
      <c r="B17" t="s">
        <v>13</v>
      </c>
      <c r="C17" s="49">
        <v>1</v>
      </c>
      <c r="D17" t="s">
        <v>17</v>
      </c>
      <c r="E17" s="49">
        <v>1</v>
      </c>
      <c r="F17" t="s">
        <v>21</v>
      </c>
      <c r="G17" s="49">
        <v>2</v>
      </c>
      <c r="H17" s="6"/>
      <c r="N17" s="10" t="s">
        <v>34</v>
      </c>
      <c r="O17" s="50">
        <f t="shared" si="0"/>
        <v>5</v>
      </c>
      <c r="P17" s="51">
        <f t="shared" si="1"/>
        <v>400000</v>
      </c>
      <c r="Q17" s="52">
        <f t="shared" si="2"/>
        <v>120000</v>
      </c>
      <c r="R17" s="52">
        <f t="shared" si="3"/>
        <v>72000</v>
      </c>
      <c r="S17" s="52">
        <f t="shared" si="4"/>
        <v>0</v>
      </c>
      <c r="T17" s="52">
        <f t="shared" si="5"/>
        <v>0</v>
      </c>
      <c r="U17" s="51">
        <f t="shared" si="6"/>
        <v>0</v>
      </c>
      <c r="V17" s="53">
        <f t="shared" si="7"/>
        <v>0</v>
      </c>
      <c r="W17" s="53">
        <f t="shared" si="8"/>
        <v>6300</v>
      </c>
      <c r="X17" s="52">
        <f t="shared" si="9"/>
        <v>198300</v>
      </c>
      <c r="BZ17" s="5">
        <v>1</v>
      </c>
      <c r="CA17" s="31">
        <f t="shared" si="18"/>
        <v>5</v>
      </c>
      <c r="CB17" s="32">
        <f t="shared" si="10"/>
        <v>400000</v>
      </c>
      <c r="CC17" s="33">
        <f t="shared" si="11"/>
        <v>120000</v>
      </c>
      <c r="CD17" s="31">
        <f t="shared" si="17"/>
        <v>15</v>
      </c>
      <c r="CE17" s="34">
        <f>CB17+CE16</f>
        <v>1200000</v>
      </c>
      <c r="CF17" s="40">
        <f>VLOOKUP(CE17,REF!$J$4:$K$10,2,1)</f>
        <v>0.2</v>
      </c>
      <c r="CG17" s="33">
        <f>SUM(CC15:CC17)*CF17</f>
        <v>72000</v>
      </c>
      <c r="CH17" s="40">
        <v>0</v>
      </c>
      <c r="CI17" s="33"/>
      <c r="CJ17" s="40">
        <v>0</v>
      </c>
      <c r="CK17" s="33"/>
      <c r="CL17" s="32">
        <v>0</v>
      </c>
      <c r="CO17" s="32">
        <f>CO16+C17</f>
        <v>1</v>
      </c>
      <c r="CP17" s="5">
        <v>1</v>
      </c>
      <c r="CQ17" s="32">
        <f t="shared" si="12"/>
        <v>2</v>
      </c>
      <c r="CR17" s="32">
        <f t="shared" si="13"/>
        <v>140000</v>
      </c>
      <c r="CS17" s="32">
        <f t="shared" si="14"/>
        <v>42000</v>
      </c>
      <c r="CT17" s="40">
        <f t="shared" si="15"/>
        <v>0.15</v>
      </c>
      <c r="CU17" s="34">
        <f t="shared" si="16"/>
        <v>6300</v>
      </c>
    </row>
    <row r="18" spans="2:99" x14ac:dyDescent="0.3">
      <c r="B18" t="s">
        <v>14</v>
      </c>
      <c r="C18" s="49">
        <v>1</v>
      </c>
      <c r="D18" t="s">
        <v>18</v>
      </c>
      <c r="E18" s="49"/>
      <c r="F18" t="s">
        <v>22</v>
      </c>
      <c r="G18" s="49"/>
      <c r="H18" s="6"/>
      <c r="N18" s="10" t="s">
        <v>35</v>
      </c>
      <c r="O18" s="50">
        <f t="shared" si="0"/>
        <v>5</v>
      </c>
      <c r="P18" s="51">
        <f t="shared" si="1"/>
        <v>400000</v>
      </c>
      <c r="Q18" s="52">
        <f t="shared" si="2"/>
        <v>120000</v>
      </c>
      <c r="R18" s="52">
        <f t="shared" si="3"/>
        <v>0</v>
      </c>
      <c r="S18" s="52">
        <f t="shared" si="4"/>
        <v>0</v>
      </c>
      <c r="T18" s="52">
        <f t="shared" si="5"/>
        <v>0</v>
      </c>
      <c r="U18" s="51">
        <f t="shared" si="6"/>
        <v>0</v>
      </c>
      <c r="V18" s="53">
        <f t="shared" si="7"/>
        <v>0</v>
      </c>
      <c r="W18" s="53">
        <f t="shared" si="8"/>
        <v>6300</v>
      </c>
      <c r="X18" s="52">
        <f t="shared" si="9"/>
        <v>126300</v>
      </c>
      <c r="BZ18" s="5">
        <f>IF($E$9&gt;=8,1,0)</f>
        <v>1</v>
      </c>
      <c r="CA18" s="31">
        <f t="shared" si="18"/>
        <v>5</v>
      </c>
      <c r="CB18" s="32">
        <f t="shared" si="10"/>
        <v>400000</v>
      </c>
      <c r="CC18" s="33">
        <f t="shared" si="11"/>
        <v>120000</v>
      </c>
      <c r="CD18" s="31">
        <f t="shared" si="17"/>
        <v>15</v>
      </c>
      <c r="CE18" s="34">
        <f>CB18</f>
        <v>400000</v>
      </c>
      <c r="CF18" s="40"/>
      <c r="CG18" s="33"/>
      <c r="CH18" s="40">
        <v>0</v>
      </c>
      <c r="CI18" s="33"/>
      <c r="CJ18" s="40">
        <v>0</v>
      </c>
      <c r="CK18" s="33"/>
      <c r="CL18" s="32">
        <v>0</v>
      </c>
      <c r="CO18" s="32">
        <f>CO17</f>
        <v>1</v>
      </c>
      <c r="CP18" s="5">
        <f>IF($G$22&gt;=8,1,0)</f>
        <v>1</v>
      </c>
      <c r="CQ18" s="32">
        <f t="shared" si="12"/>
        <v>2</v>
      </c>
      <c r="CR18" s="32">
        <f t="shared" si="13"/>
        <v>140000</v>
      </c>
      <c r="CS18" s="32">
        <f t="shared" si="14"/>
        <v>42000</v>
      </c>
      <c r="CT18" s="40">
        <f t="shared" si="15"/>
        <v>0.15</v>
      </c>
      <c r="CU18" s="34">
        <f t="shared" si="16"/>
        <v>6300</v>
      </c>
    </row>
    <row r="19" spans="2:99" x14ac:dyDescent="0.3">
      <c r="N19" s="10" t="s">
        <v>36</v>
      </c>
      <c r="O19" s="50">
        <f t="shared" si="0"/>
        <v>5</v>
      </c>
      <c r="P19" s="51">
        <f t="shared" si="1"/>
        <v>400000</v>
      </c>
      <c r="Q19" s="52">
        <f t="shared" si="2"/>
        <v>120000</v>
      </c>
      <c r="R19" s="52">
        <f t="shared" si="3"/>
        <v>0</v>
      </c>
      <c r="S19" s="52">
        <f t="shared" si="4"/>
        <v>0</v>
      </c>
      <c r="T19" s="52">
        <f t="shared" si="5"/>
        <v>0</v>
      </c>
      <c r="U19" s="51">
        <f t="shared" si="6"/>
        <v>0</v>
      </c>
      <c r="V19" s="53">
        <f t="shared" si="7"/>
        <v>0</v>
      </c>
      <c r="W19" s="53">
        <f t="shared" si="8"/>
        <v>6300</v>
      </c>
      <c r="X19" s="52">
        <f t="shared" si="9"/>
        <v>126300</v>
      </c>
      <c r="BZ19" s="5">
        <f>IF($E$9&gt;=7,1,0)</f>
        <v>1</v>
      </c>
      <c r="CA19" s="31">
        <f t="shared" si="18"/>
        <v>5</v>
      </c>
      <c r="CB19" s="32">
        <f t="shared" si="10"/>
        <v>400000</v>
      </c>
      <c r="CC19" s="33">
        <f t="shared" si="11"/>
        <v>120000</v>
      </c>
      <c r="CD19" s="31">
        <f t="shared" si="17"/>
        <v>15</v>
      </c>
      <c r="CE19" s="34">
        <f>CB19+CE18</f>
        <v>800000</v>
      </c>
      <c r="CF19" s="40"/>
      <c r="CG19" s="33"/>
      <c r="CH19" s="40">
        <v>0</v>
      </c>
      <c r="CI19" s="33"/>
      <c r="CJ19" s="40">
        <v>0</v>
      </c>
      <c r="CK19" s="33"/>
      <c r="CL19" s="32">
        <v>0</v>
      </c>
      <c r="CO19" s="32">
        <f>CO18</f>
        <v>1</v>
      </c>
      <c r="CP19" s="5">
        <f>IF($G$22&gt;=7,1,0)</f>
        <v>1</v>
      </c>
      <c r="CQ19" s="32">
        <f t="shared" si="12"/>
        <v>2</v>
      </c>
      <c r="CR19" s="32">
        <f t="shared" si="13"/>
        <v>140000</v>
      </c>
      <c r="CS19" s="32">
        <f t="shared" si="14"/>
        <v>42000</v>
      </c>
      <c r="CT19" s="40">
        <f t="shared" si="15"/>
        <v>0.15</v>
      </c>
      <c r="CU19" s="34">
        <f t="shared" si="16"/>
        <v>6300</v>
      </c>
    </row>
    <row r="20" spans="2:99" x14ac:dyDescent="0.3">
      <c r="B20" t="s">
        <v>23</v>
      </c>
      <c r="G20" s="47">
        <v>2</v>
      </c>
      <c r="H20" t="s">
        <v>88</v>
      </c>
      <c r="N20" s="10" t="s">
        <v>37</v>
      </c>
      <c r="O20" s="50">
        <f t="shared" si="0"/>
        <v>5</v>
      </c>
      <c r="P20" s="51">
        <f t="shared" si="1"/>
        <v>400000</v>
      </c>
      <c r="Q20" s="52">
        <f t="shared" si="2"/>
        <v>120000</v>
      </c>
      <c r="R20" s="52">
        <f t="shared" si="3"/>
        <v>72000</v>
      </c>
      <c r="S20" s="52">
        <f t="shared" si="4"/>
        <v>0</v>
      </c>
      <c r="T20" s="52">
        <f t="shared" si="5"/>
        <v>0</v>
      </c>
      <c r="U20" s="51">
        <f t="shared" si="6"/>
        <v>0</v>
      </c>
      <c r="V20" s="53">
        <f t="shared" si="7"/>
        <v>0</v>
      </c>
      <c r="W20" s="53">
        <f t="shared" si="8"/>
        <v>12600</v>
      </c>
      <c r="X20" s="52">
        <f t="shared" si="9"/>
        <v>204600</v>
      </c>
      <c r="BZ20" s="5">
        <v>1</v>
      </c>
      <c r="CA20" s="31">
        <f t="shared" si="18"/>
        <v>5</v>
      </c>
      <c r="CB20" s="32">
        <f t="shared" si="10"/>
        <v>400000</v>
      </c>
      <c r="CC20" s="33">
        <f t="shared" si="11"/>
        <v>120000</v>
      </c>
      <c r="CD20" s="31">
        <f t="shared" si="17"/>
        <v>15</v>
      </c>
      <c r="CE20" s="34">
        <f>CB20+CE19</f>
        <v>1200000</v>
      </c>
      <c r="CF20" s="40">
        <f>VLOOKUP(CE20,REF!$J$4:$K$10,2,1)</f>
        <v>0.2</v>
      </c>
      <c r="CG20" s="33">
        <f>SUM(CC18:CC20)*CF20</f>
        <v>72000</v>
      </c>
      <c r="CH20" s="40">
        <v>0</v>
      </c>
      <c r="CI20" s="33"/>
      <c r="CJ20" s="40">
        <v>0</v>
      </c>
      <c r="CK20" s="33"/>
      <c r="CL20" s="32">
        <v>0</v>
      </c>
      <c r="CO20" s="32">
        <f>CO19+C18</f>
        <v>2</v>
      </c>
      <c r="CP20" s="5">
        <v>1</v>
      </c>
      <c r="CQ20" s="32">
        <f t="shared" si="12"/>
        <v>4</v>
      </c>
      <c r="CR20" s="32">
        <f t="shared" si="13"/>
        <v>280000</v>
      </c>
      <c r="CS20" s="32">
        <f t="shared" si="14"/>
        <v>84000</v>
      </c>
      <c r="CT20" s="40">
        <f t="shared" si="15"/>
        <v>0.15</v>
      </c>
      <c r="CU20" s="34">
        <f t="shared" si="16"/>
        <v>12600</v>
      </c>
    </row>
    <row r="21" spans="2:99" x14ac:dyDescent="0.3">
      <c r="B21" t="s">
        <v>24</v>
      </c>
      <c r="H21" s="48">
        <v>70000</v>
      </c>
      <c r="N21" s="10" t="s">
        <v>39</v>
      </c>
      <c r="O21" s="50">
        <f t="shared" si="0"/>
        <v>5</v>
      </c>
      <c r="P21" s="51">
        <f t="shared" si="1"/>
        <v>400000</v>
      </c>
      <c r="Q21" s="52">
        <f t="shared" si="2"/>
        <v>120000</v>
      </c>
      <c r="R21" s="52">
        <f t="shared" si="3"/>
        <v>0</v>
      </c>
      <c r="S21" s="52">
        <f t="shared" si="4"/>
        <v>0</v>
      </c>
      <c r="T21" s="52">
        <f t="shared" si="5"/>
        <v>0</v>
      </c>
      <c r="U21" s="51">
        <f t="shared" si="6"/>
        <v>80000</v>
      </c>
      <c r="V21" s="53">
        <f t="shared" si="7"/>
        <v>0</v>
      </c>
      <c r="W21" s="53">
        <f t="shared" si="8"/>
        <v>12600</v>
      </c>
      <c r="X21" s="52">
        <f t="shared" si="9"/>
        <v>212600</v>
      </c>
      <c r="BZ21" s="5">
        <f>IF($E$9&gt;=6,1,0)</f>
        <v>1</v>
      </c>
      <c r="CA21" s="31">
        <f t="shared" si="18"/>
        <v>5</v>
      </c>
      <c r="CB21" s="32">
        <f t="shared" si="10"/>
        <v>400000</v>
      </c>
      <c r="CC21" s="33">
        <f t="shared" si="11"/>
        <v>120000</v>
      </c>
      <c r="CD21" s="31">
        <f t="shared" si="17"/>
        <v>15</v>
      </c>
      <c r="CE21" s="34">
        <f>CB21</f>
        <v>400000</v>
      </c>
      <c r="CF21" s="41"/>
      <c r="CG21" s="33"/>
      <c r="CH21" s="41">
        <f>VLOOKUP(CD21,REF!$M$16:$N$18,2,1)</f>
        <v>0.15</v>
      </c>
      <c r="CI21" s="43"/>
      <c r="CJ21" s="41">
        <f>VLOOKUP(SUM($CC$9:$CC$20),REF!$O$2:$P$5,2,1)*IF(AND(SUM(Advisor!$CA$9:$CA$20)&gt;=24,Advisor!$E$9&gt;=7),1,0)</f>
        <v>1.2</v>
      </c>
      <c r="CK21" s="43"/>
      <c r="CL21" s="45">
        <f>CB9*0.2</f>
        <v>80000</v>
      </c>
      <c r="CM21" s="44"/>
      <c r="CO21" s="32">
        <f>CO20</f>
        <v>2</v>
      </c>
      <c r="CP21" s="5">
        <f>IF($G$22&gt;=6,1,0)</f>
        <v>1</v>
      </c>
      <c r="CQ21" s="32">
        <f t="shared" si="12"/>
        <v>4</v>
      </c>
      <c r="CR21" s="32">
        <f t="shared" si="13"/>
        <v>280000</v>
      </c>
      <c r="CS21" s="32">
        <f t="shared" si="14"/>
        <v>84000</v>
      </c>
      <c r="CT21" s="40">
        <f t="shared" si="15"/>
        <v>0.15</v>
      </c>
      <c r="CU21" s="34">
        <f t="shared" si="16"/>
        <v>12600</v>
      </c>
    </row>
    <row r="22" spans="2:99" x14ac:dyDescent="0.3">
      <c r="B22" t="s">
        <v>25</v>
      </c>
      <c r="G22" s="48">
        <v>8</v>
      </c>
      <c r="H22" t="s">
        <v>26</v>
      </c>
      <c r="N22" s="10" t="s">
        <v>40</v>
      </c>
      <c r="O22" s="50">
        <f t="shared" si="0"/>
        <v>5</v>
      </c>
      <c r="P22" s="51">
        <f t="shared" si="1"/>
        <v>400000</v>
      </c>
      <c r="Q22" s="52">
        <f t="shared" si="2"/>
        <v>120000</v>
      </c>
      <c r="R22" s="52">
        <f t="shared" si="3"/>
        <v>0</v>
      </c>
      <c r="S22" s="52">
        <f t="shared" si="4"/>
        <v>0</v>
      </c>
      <c r="T22" s="52">
        <f t="shared" si="5"/>
        <v>0</v>
      </c>
      <c r="U22" s="51">
        <f t="shared" si="6"/>
        <v>80000</v>
      </c>
      <c r="V22" s="53">
        <f t="shared" si="7"/>
        <v>0</v>
      </c>
      <c r="W22" s="53">
        <f t="shared" si="8"/>
        <v>12600</v>
      </c>
      <c r="X22" s="52">
        <f t="shared" si="9"/>
        <v>212600</v>
      </c>
      <c r="BZ22" s="5">
        <f>IF($E$9&gt;=5,1,0)</f>
        <v>1</v>
      </c>
      <c r="CA22" s="31">
        <f t="shared" si="18"/>
        <v>5</v>
      </c>
      <c r="CB22" s="32">
        <f t="shared" si="10"/>
        <v>400000</v>
      </c>
      <c r="CC22" s="33">
        <f t="shared" si="11"/>
        <v>120000</v>
      </c>
      <c r="CD22" s="31">
        <f t="shared" si="17"/>
        <v>15</v>
      </c>
      <c r="CE22" s="34">
        <f>CB22+CE21</f>
        <v>800000</v>
      </c>
      <c r="CF22" s="41"/>
      <c r="CG22" s="33"/>
      <c r="CH22" s="41">
        <f>VLOOKUP(CD22,REF!$M$16:$N$18,2,1)</f>
        <v>0.15</v>
      </c>
      <c r="CI22" s="43"/>
      <c r="CJ22" s="41">
        <f>VLOOKUP(SUM($CC$9:$CC$20),REF!$O$2:$P$5,2,1)*IF(AND(SUM(Advisor!$CA$9:$CA$20)&gt;=24,Advisor!$E$9&gt;=7),1,0)</f>
        <v>1.2</v>
      </c>
      <c r="CK22" s="43"/>
      <c r="CL22" s="45">
        <f t="shared" ref="CL22:CL32" si="19">CB10*0.2</f>
        <v>80000</v>
      </c>
      <c r="CM22" s="44"/>
      <c r="CO22" s="32">
        <f>CO21</f>
        <v>2</v>
      </c>
      <c r="CP22" s="5">
        <f>IF($G$22&gt;=5,1,0)</f>
        <v>1</v>
      </c>
      <c r="CQ22" s="32">
        <f t="shared" si="12"/>
        <v>4</v>
      </c>
      <c r="CR22" s="32">
        <f t="shared" si="13"/>
        <v>280000</v>
      </c>
      <c r="CS22" s="32">
        <f t="shared" si="14"/>
        <v>84000</v>
      </c>
      <c r="CT22" s="40">
        <f t="shared" si="15"/>
        <v>0.15</v>
      </c>
      <c r="CU22" s="34">
        <f t="shared" si="16"/>
        <v>12600</v>
      </c>
    </row>
    <row r="23" spans="2:99" x14ac:dyDescent="0.3">
      <c r="N23" s="10" t="s">
        <v>41</v>
      </c>
      <c r="O23" s="50">
        <f t="shared" si="0"/>
        <v>5</v>
      </c>
      <c r="P23" s="51">
        <f t="shared" si="1"/>
        <v>400000</v>
      </c>
      <c r="Q23" s="52">
        <f t="shared" si="2"/>
        <v>120000</v>
      </c>
      <c r="R23" s="52">
        <f t="shared" si="3"/>
        <v>72000</v>
      </c>
      <c r="S23" s="52">
        <f t="shared" si="4"/>
        <v>0</v>
      </c>
      <c r="T23" s="52">
        <f t="shared" si="5"/>
        <v>0</v>
      </c>
      <c r="U23" s="51">
        <f t="shared" si="6"/>
        <v>80000</v>
      </c>
      <c r="V23" s="53">
        <f t="shared" si="7"/>
        <v>96000</v>
      </c>
      <c r="W23" s="53">
        <f t="shared" si="8"/>
        <v>18900</v>
      </c>
      <c r="X23" s="52">
        <f t="shared" si="9"/>
        <v>386900</v>
      </c>
      <c r="BZ23" s="5">
        <v>1</v>
      </c>
      <c r="CA23" s="31">
        <f t="shared" si="18"/>
        <v>5</v>
      </c>
      <c r="CB23" s="32">
        <f t="shared" si="10"/>
        <v>400000</v>
      </c>
      <c r="CC23" s="33">
        <f t="shared" si="11"/>
        <v>120000</v>
      </c>
      <c r="CD23" s="31">
        <f t="shared" si="17"/>
        <v>15</v>
      </c>
      <c r="CE23" s="34">
        <f>CB23+CE22</f>
        <v>1200000</v>
      </c>
      <c r="CF23" s="41">
        <f>VLOOKUP(CE23,REF!$J$4:$K$10,2,1)</f>
        <v>0.2</v>
      </c>
      <c r="CG23" s="33">
        <f>SUM(CC21:CC23)*CF23</f>
        <v>72000</v>
      </c>
      <c r="CH23" s="41">
        <f>VLOOKUP(CD23,REF!$M$16:$N$18,2,1)</f>
        <v>0.15</v>
      </c>
      <c r="CI23" s="43"/>
      <c r="CJ23" s="41">
        <f>VLOOKUP(SUM($CC$9:$CC$20),REF!$O$2:$P$5,2,1)*IF(AND(SUM(Advisor!$CA$9:$CA$20)&gt;=24,Advisor!$E$9&gt;=7),1,0)</f>
        <v>1.2</v>
      </c>
      <c r="CK23" s="43"/>
      <c r="CL23" s="45">
        <f t="shared" si="19"/>
        <v>80000</v>
      </c>
      <c r="CM23" s="43">
        <f>SUM(CL21:CL23)*0.4</f>
        <v>96000</v>
      </c>
      <c r="CO23" s="32">
        <f>CO22+E15</f>
        <v>3</v>
      </c>
      <c r="CP23" s="5">
        <v>1</v>
      </c>
      <c r="CQ23" s="32">
        <f t="shared" si="12"/>
        <v>6</v>
      </c>
      <c r="CR23" s="32">
        <f t="shared" si="13"/>
        <v>420000</v>
      </c>
      <c r="CS23" s="32">
        <f t="shared" si="14"/>
        <v>126000</v>
      </c>
      <c r="CT23" s="40">
        <f t="shared" si="15"/>
        <v>0.15</v>
      </c>
      <c r="CU23" s="34">
        <f t="shared" si="16"/>
        <v>18900</v>
      </c>
    </row>
    <row r="24" spans="2:99" x14ac:dyDescent="0.3">
      <c r="B24" s="8" t="s">
        <v>94</v>
      </c>
      <c r="N24" s="10" t="s">
        <v>42</v>
      </c>
      <c r="O24" s="50">
        <f t="shared" si="0"/>
        <v>5</v>
      </c>
      <c r="P24" s="51">
        <f t="shared" si="1"/>
        <v>400000</v>
      </c>
      <c r="Q24" s="52">
        <f t="shared" si="2"/>
        <v>120000</v>
      </c>
      <c r="R24" s="52">
        <f t="shared" si="3"/>
        <v>0</v>
      </c>
      <c r="S24" s="52">
        <f t="shared" si="4"/>
        <v>0</v>
      </c>
      <c r="T24" s="52">
        <f t="shared" si="5"/>
        <v>0</v>
      </c>
      <c r="U24" s="51">
        <f t="shared" si="6"/>
        <v>80000</v>
      </c>
      <c r="V24" s="53">
        <f t="shared" si="7"/>
        <v>0</v>
      </c>
      <c r="W24" s="53">
        <f t="shared" si="8"/>
        <v>0</v>
      </c>
      <c r="X24" s="52">
        <f t="shared" si="9"/>
        <v>200000</v>
      </c>
      <c r="BZ24" s="5">
        <f>IF($E$9=12,1,0)</f>
        <v>1</v>
      </c>
      <c r="CA24" s="31">
        <f t="shared" si="18"/>
        <v>5</v>
      </c>
      <c r="CB24" s="32">
        <f t="shared" si="10"/>
        <v>400000</v>
      </c>
      <c r="CC24" s="33">
        <f t="shared" si="11"/>
        <v>120000</v>
      </c>
      <c r="CD24" s="31">
        <f t="shared" si="17"/>
        <v>15</v>
      </c>
      <c r="CE24" s="34">
        <f>CB24</f>
        <v>400000</v>
      </c>
      <c r="CF24" s="41"/>
      <c r="CG24" s="33"/>
      <c r="CH24" s="41">
        <f>VLOOKUP(CD24,REF!$M$16:$N$18,2,1)</f>
        <v>0.15</v>
      </c>
      <c r="CI24" s="43"/>
      <c r="CJ24" s="41">
        <f>VLOOKUP(SUM($CC$9:$CC$20),REF!$O$2:$P$5,2,1)*IF(AND(SUM(Advisor!$CA$9:$CA$20)&gt;=24,Advisor!$E$9&gt;=7),1,0)</f>
        <v>1.2</v>
      </c>
      <c r="CK24" s="43"/>
      <c r="CL24" s="45">
        <f t="shared" si="19"/>
        <v>80000</v>
      </c>
      <c r="CM24" s="44"/>
      <c r="CO24" s="32">
        <f>CO23</f>
        <v>3</v>
      </c>
      <c r="CP24" s="5">
        <f>IF($G$22=12,1,0)</f>
        <v>0</v>
      </c>
      <c r="CQ24" s="32">
        <f t="shared" si="12"/>
        <v>0</v>
      </c>
      <c r="CR24" s="32">
        <f t="shared" si="13"/>
        <v>0</v>
      </c>
      <c r="CS24" s="32">
        <f t="shared" si="14"/>
        <v>0</v>
      </c>
      <c r="CT24" s="40">
        <f t="shared" si="15"/>
        <v>0.15</v>
      </c>
      <c r="CU24" s="34">
        <f t="shared" si="16"/>
        <v>0</v>
      </c>
    </row>
    <row r="25" spans="2:99" x14ac:dyDescent="0.3">
      <c r="B25" s="8" t="s">
        <v>64</v>
      </c>
      <c r="N25" s="10" t="s">
        <v>43</v>
      </c>
      <c r="O25" s="50">
        <f t="shared" si="0"/>
        <v>5</v>
      </c>
      <c r="P25" s="51">
        <f t="shared" si="1"/>
        <v>400000</v>
      </c>
      <c r="Q25" s="52">
        <f t="shared" si="2"/>
        <v>120000</v>
      </c>
      <c r="R25" s="52">
        <f t="shared" si="3"/>
        <v>0</v>
      </c>
      <c r="S25" s="52">
        <f t="shared" si="4"/>
        <v>0</v>
      </c>
      <c r="T25" s="52">
        <f t="shared" si="5"/>
        <v>0</v>
      </c>
      <c r="U25" s="51">
        <f t="shared" si="6"/>
        <v>80000</v>
      </c>
      <c r="V25" s="53">
        <f t="shared" si="7"/>
        <v>0</v>
      </c>
      <c r="W25" s="53">
        <f t="shared" si="8"/>
        <v>0</v>
      </c>
      <c r="X25" s="52">
        <f t="shared" si="9"/>
        <v>200000</v>
      </c>
      <c r="BZ25" s="5">
        <f>IF($E$9&gt;=10,1,0)</f>
        <v>1</v>
      </c>
      <c r="CA25" s="31">
        <f t="shared" si="18"/>
        <v>5</v>
      </c>
      <c r="CB25" s="32">
        <f t="shared" si="10"/>
        <v>400000</v>
      </c>
      <c r="CC25" s="33">
        <f t="shared" si="11"/>
        <v>120000</v>
      </c>
      <c r="CD25" s="31">
        <f t="shared" si="17"/>
        <v>15</v>
      </c>
      <c r="CE25" s="34">
        <f>CB25+CE24</f>
        <v>800000</v>
      </c>
      <c r="CF25" s="41"/>
      <c r="CG25" s="33"/>
      <c r="CH25" s="41">
        <f>VLOOKUP(CD25,REF!$M$16:$N$18,2,1)</f>
        <v>0.15</v>
      </c>
      <c r="CI25" s="43"/>
      <c r="CJ25" s="41">
        <f>VLOOKUP(SUM($CC$9:$CC$20),REF!$O$2:$P$5,2,1)*IF(AND(SUM(Advisor!$CA$9:$CA$20)&gt;=24,Advisor!$E$9&gt;=7),1,0)</f>
        <v>1.2</v>
      </c>
      <c r="CK25" s="43"/>
      <c r="CL25" s="45">
        <f t="shared" si="19"/>
        <v>80000</v>
      </c>
      <c r="CM25" s="44"/>
      <c r="CO25" s="32">
        <f>CO24</f>
        <v>3</v>
      </c>
      <c r="CP25" s="5">
        <f>IF($G$22&gt;=10,1,0)</f>
        <v>0</v>
      </c>
      <c r="CQ25" s="32">
        <f t="shared" si="12"/>
        <v>0</v>
      </c>
      <c r="CR25" s="32">
        <f t="shared" si="13"/>
        <v>0</v>
      </c>
      <c r="CS25" s="32">
        <f t="shared" si="14"/>
        <v>0</v>
      </c>
      <c r="CT25" s="40">
        <f t="shared" si="15"/>
        <v>0.15</v>
      </c>
      <c r="CU25" s="34">
        <f t="shared" si="16"/>
        <v>0</v>
      </c>
    </row>
    <row r="26" spans="2:99" x14ac:dyDescent="0.3">
      <c r="N26" s="10" t="s">
        <v>44</v>
      </c>
      <c r="O26" s="50">
        <f t="shared" si="0"/>
        <v>5</v>
      </c>
      <c r="P26" s="51">
        <f t="shared" si="1"/>
        <v>400000</v>
      </c>
      <c r="Q26" s="52">
        <f t="shared" si="2"/>
        <v>120000</v>
      </c>
      <c r="R26" s="52">
        <f t="shared" si="3"/>
        <v>72000</v>
      </c>
      <c r="S26" s="52">
        <f t="shared" si="4"/>
        <v>0</v>
      </c>
      <c r="T26" s="52">
        <f t="shared" si="5"/>
        <v>0</v>
      </c>
      <c r="U26" s="51">
        <f t="shared" si="6"/>
        <v>80000</v>
      </c>
      <c r="V26" s="53">
        <f t="shared" si="7"/>
        <v>96000</v>
      </c>
      <c r="W26" s="53">
        <f t="shared" si="8"/>
        <v>18900</v>
      </c>
      <c r="X26" s="52">
        <f t="shared" si="9"/>
        <v>386900</v>
      </c>
      <c r="BZ26" s="5">
        <v>1</v>
      </c>
      <c r="CA26" s="31">
        <f t="shared" si="18"/>
        <v>5</v>
      </c>
      <c r="CB26" s="32">
        <f t="shared" si="10"/>
        <v>400000</v>
      </c>
      <c r="CC26" s="33">
        <f t="shared" si="11"/>
        <v>120000</v>
      </c>
      <c r="CD26" s="31">
        <f t="shared" si="17"/>
        <v>15</v>
      </c>
      <c r="CE26" s="34">
        <f>CB26+CE25</f>
        <v>1200000</v>
      </c>
      <c r="CF26" s="41">
        <f>VLOOKUP(CE26,REF!$J$4:$K$10,2,1)</f>
        <v>0.2</v>
      </c>
      <c r="CG26" s="33">
        <f>SUM(CC24:CC26)*CF26</f>
        <v>72000</v>
      </c>
      <c r="CH26" s="41">
        <f>VLOOKUP(CD26,REF!$M$16:$N$18,2,1)</f>
        <v>0.15</v>
      </c>
      <c r="CI26" s="43"/>
      <c r="CJ26" s="41">
        <f>VLOOKUP(SUM($CC$9:$CC$20),REF!$O$2:$P$5,2,1)*IF(AND(SUM(Advisor!$CA$9:$CA$20)&gt;=24,Advisor!$E$9&gt;=7),1,0)</f>
        <v>1.2</v>
      </c>
      <c r="CK26" s="43"/>
      <c r="CL26" s="45">
        <f t="shared" si="19"/>
        <v>80000</v>
      </c>
      <c r="CM26" s="43">
        <f>SUM(CL24:CL26)*0.4</f>
        <v>96000</v>
      </c>
      <c r="CO26" s="32">
        <f>CO25+E16</f>
        <v>3</v>
      </c>
      <c r="CP26" s="5">
        <v>1</v>
      </c>
      <c r="CQ26" s="32">
        <f t="shared" si="12"/>
        <v>6</v>
      </c>
      <c r="CR26" s="32">
        <f t="shared" si="13"/>
        <v>420000</v>
      </c>
      <c r="CS26" s="32">
        <f t="shared" si="14"/>
        <v>126000</v>
      </c>
      <c r="CT26" s="40">
        <f t="shared" si="15"/>
        <v>0.15</v>
      </c>
      <c r="CU26" s="34">
        <f t="shared" si="16"/>
        <v>18900</v>
      </c>
    </row>
    <row r="27" spans="2:99" x14ac:dyDescent="0.3">
      <c r="N27" s="10" t="s">
        <v>45</v>
      </c>
      <c r="O27" s="50">
        <f t="shared" si="0"/>
        <v>5</v>
      </c>
      <c r="P27" s="51">
        <f t="shared" si="1"/>
        <v>400000</v>
      </c>
      <c r="Q27" s="52">
        <f t="shared" si="2"/>
        <v>120000</v>
      </c>
      <c r="R27" s="52">
        <f t="shared" si="3"/>
        <v>0</v>
      </c>
      <c r="S27" s="52">
        <f t="shared" si="4"/>
        <v>0</v>
      </c>
      <c r="T27" s="52">
        <f t="shared" si="5"/>
        <v>0</v>
      </c>
      <c r="U27" s="51">
        <f t="shared" si="6"/>
        <v>80000</v>
      </c>
      <c r="V27" s="53">
        <f t="shared" si="7"/>
        <v>0</v>
      </c>
      <c r="W27" s="53">
        <f t="shared" si="8"/>
        <v>0</v>
      </c>
      <c r="X27" s="52">
        <f t="shared" si="9"/>
        <v>200000</v>
      </c>
      <c r="BZ27" s="5">
        <f>IF($E$9&gt;=11,1,0)</f>
        <v>1</v>
      </c>
      <c r="CA27" s="31">
        <f t="shared" si="18"/>
        <v>5</v>
      </c>
      <c r="CB27" s="32">
        <f t="shared" si="10"/>
        <v>400000</v>
      </c>
      <c r="CC27" s="33">
        <f t="shared" si="11"/>
        <v>120000</v>
      </c>
      <c r="CD27" s="31">
        <f t="shared" si="17"/>
        <v>15</v>
      </c>
      <c r="CE27" s="34">
        <f>CB27</f>
        <v>400000</v>
      </c>
      <c r="CF27" s="41"/>
      <c r="CG27" s="33"/>
      <c r="CH27" s="41">
        <f>VLOOKUP(CD27,REF!$M$16:$N$18,2,1)</f>
        <v>0.15</v>
      </c>
      <c r="CI27" s="43"/>
      <c r="CJ27" s="41">
        <f>VLOOKUP(SUM($CC$9:$CC$20),REF!$O$2:$P$5,2,1)*IF(AND(SUM(Advisor!$CA$9:$CA$20)&gt;=24,Advisor!$E$9&gt;=7),1,0)</f>
        <v>1.2</v>
      </c>
      <c r="CK27" s="43"/>
      <c r="CL27" s="45">
        <f t="shared" si="19"/>
        <v>80000</v>
      </c>
      <c r="CM27" s="44"/>
      <c r="CO27" s="32">
        <f>CO26</f>
        <v>3</v>
      </c>
      <c r="CP27" s="5">
        <f>IF($G$22&gt;=11,1,0)</f>
        <v>0</v>
      </c>
      <c r="CQ27" s="32">
        <f t="shared" si="12"/>
        <v>0</v>
      </c>
      <c r="CR27" s="32">
        <f t="shared" si="13"/>
        <v>0</v>
      </c>
      <c r="CS27" s="32">
        <f t="shared" si="14"/>
        <v>0</v>
      </c>
      <c r="CT27" s="40">
        <f t="shared" si="15"/>
        <v>0.15</v>
      </c>
      <c r="CU27" s="34">
        <f t="shared" si="16"/>
        <v>0</v>
      </c>
    </row>
    <row r="28" spans="2:99" x14ac:dyDescent="0.3">
      <c r="N28" s="10" t="s">
        <v>46</v>
      </c>
      <c r="O28" s="50">
        <f t="shared" si="0"/>
        <v>5</v>
      </c>
      <c r="P28" s="51">
        <f t="shared" si="1"/>
        <v>400000</v>
      </c>
      <c r="Q28" s="52">
        <f t="shared" si="2"/>
        <v>120000</v>
      </c>
      <c r="R28" s="52">
        <f t="shared" si="3"/>
        <v>0</v>
      </c>
      <c r="S28" s="52">
        <f t="shared" si="4"/>
        <v>0</v>
      </c>
      <c r="T28" s="52">
        <f t="shared" si="5"/>
        <v>0</v>
      </c>
      <c r="U28" s="51">
        <f t="shared" si="6"/>
        <v>80000</v>
      </c>
      <c r="V28" s="53">
        <f t="shared" si="7"/>
        <v>0</v>
      </c>
      <c r="W28" s="53">
        <f t="shared" si="8"/>
        <v>0</v>
      </c>
      <c r="X28" s="52">
        <f t="shared" si="9"/>
        <v>200000</v>
      </c>
      <c r="BZ28" s="5">
        <f>IF($E$9&gt;=9,1,0)</f>
        <v>1</v>
      </c>
      <c r="CA28" s="31">
        <f t="shared" si="18"/>
        <v>5</v>
      </c>
      <c r="CB28" s="32">
        <f t="shared" si="10"/>
        <v>400000</v>
      </c>
      <c r="CC28" s="33">
        <f t="shared" si="11"/>
        <v>120000</v>
      </c>
      <c r="CD28" s="31">
        <f t="shared" si="17"/>
        <v>15</v>
      </c>
      <c r="CE28" s="34">
        <f>CB28+CE27</f>
        <v>800000</v>
      </c>
      <c r="CF28" s="41"/>
      <c r="CG28" s="33"/>
      <c r="CH28" s="41">
        <f>VLOOKUP(CD28,REF!$M$16:$N$18,2,1)</f>
        <v>0.15</v>
      </c>
      <c r="CI28" s="43"/>
      <c r="CJ28" s="41">
        <f>VLOOKUP(SUM($CC$9:$CC$20),REF!$O$2:$P$5,2,1)*IF(AND(SUM(Advisor!$CA$9:$CA$20)&gt;=24,Advisor!$E$9&gt;=7),1,0)</f>
        <v>1.2</v>
      </c>
      <c r="CK28" s="43"/>
      <c r="CL28" s="45">
        <f t="shared" si="19"/>
        <v>80000</v>
      </c>
      <c r="CM28" s="44"/>
      <c r="CO28" s="32">
        <f>CO27</f>
        <v>3</v>
      </c>
      <c r="CP28" s="5">
        <f>IF($G$22&gt;=9,1,0)</f>
        <v>0</v>
      </c>
      <c r="CQ28" s="32">
        <f t="shared" si="12"/>
        <v>0</v>
      </c>
      <c r="CR28" s="32">
        <f t="shared" si="13"/>
        <v>0</v>
      </c>
      <c r="CS28" s="32">
        <f t="shared" si="14"/>
        <v>0</v>
      </c>
      <c r="CT28" s="40">
        <f t="shared" si="15"/>
        <v>0.15</v>
      </c>
      <c r="CU28" s="34">
        <f t="shared" si="16"/>
        <v>0</v>
      </c>
    </row>
    <row r="29" spans="2:99" x14ac:dyDescent="0.3">
      <c r="N29" s="10" t="s">
        <v>47</v>
      </c>
      <c r="O29" s="50">
        <f t="shared" si="0"/>
        <v>5</v>
      </c>
      <c r="P29" s="51">
        <f t="shared" si="1"/>
        <v>400000</v>
      </c>
      <c r="Q29" s="52">
        <f t="shared" si="2"/>
        <v>120000</v>
      </c>
      <c r="R29" s="52">
        <f t="shared" si="3"/>
        <v>72000</v>
      </c>
      <c r="S29" s="52">
        <f t="shared" si="4"/>
        <v>0</v>
      </c>
      <c r="T29" s="52">
        <f t="shared" si="5"/>
        <v>0</v>
      </c>
      <c r="U29" s="51">
        <f t="shared" si="6"/>
        <v>80000</v>
      </c>
      <c r="V29" s="53">
        <f t="shared" si="7"/>
        <v>96000</v>
      </c>
      <c r="W29" s="53">
        <f t="shared" si="8"/>
        <v>25200</v>
      </c>
      <c r="X29" s="52">
        <f t="shared" si="9"/>
        <v>393200</v>
      </c>
      <c r="BZ29" s="5">
        <v>1</v>
      </c>
      <c r="CA29" s="31">
        <f t="shared" si="18"/>
        <v>5</v>
      </c>
      <c r="CB29" s="32">
        <f t="shared" si="10"/>
        <v>400000</v>
      </c>
      <c r="CC29" s="33">
        <f t="shared" si="11"/>
        <v>120000</v>
      </c>
      <c r="CD29" s="31">
        <f t="shared" si="17"/>
        <v>15</v>
      </c>
      <c r="CE29" s="34">
        <f>CB29+CE28</f>
        <v>1200000</v>
      </c>
      <c r="CF29" s="41">
        <f>VLOOKUP(CE29,REF!$J$4:$K$10,2,1)</f>
        <v>0.2</v>
      </c>
      <c r="CG29" s="33">
        <f>SUM(CC27:CC29)*CF29</f>
        <v>72000</v>
      </c>
      <c r="CH29" s="41">
        <f>VLOOKUP(CD29,REF!$M$16:$N$18,2,1)</f>
        <v>0.15</v>
      </c>
      <c r="CI29" s="43"/>
      <c r="CJ29" s="41">
        <f>VLOOKUP(SUM($CC$9:$CC$20),REF!$O$2:$P$5,2,1)*IF(AND(SUM(Advisor!$CA$9:$CA$20)&gt;=24,Advisor!$E$9&gt;=7),1,0)</f>
        <v>1.2</v>
      </c>
      <c r="CK29" s="43"/>
      <c r="CL29" s="45">
        <f t="shared" si="19"/>
        <v>80000</v>
      </c>
      <c r="CM29" s="43">
        <f>SUM(CL27:CL29)*0.4</f>
        <v>96000</v>
      </c>
      <c r="CO29" s="32">
        <f>CO28+E17</f>
        <v>4</v>
      </c>
      <c r="CP29" s="5">
        <v>1</v>
      </c>
      <c r="CQ29" s="32">
        <f t="shared" si="12"/>
        <v>8</v>
      </c>
      <c r="CR29" s="32">
        <f t="shared" si="13"/>
        <v>560000</v>
      </c>
      <c r="CS29" s="32">
        <f t="shared" si="14"/>
        <v>168000</v>
      </c>
      <c r="CT29" s="40">
        <f t="shared" si="15"/>
        <v>0.15</v>
      </c>
      <c r="CU29" s="34">
        <f t="shared" si="16"/>
        <v>25200</v>
      </c>
    </row>
    <row r="30" spans="2:99" x14ac:dyDescent="0.3">
      <c r="N30" s="10" t="s">
        <v>48</v>
      </c>
      <c r="O30" s="50">
        <f t="shared" si="0"/>
        <v>5</v>
      </c>
      <c r="P30" s="51">
        <f t="shared" si="1"/>
        <v>400000</v>
      </c>
      <c r="Q30" s="52">
        <f t="shared" si="2"/>
        <v>120000</v>
      </c>
      <c r="R30" s="52">
        <f t="shared" si="3"/>
        <v>0</v>
      </c>
      <c r="S30" s="52">
        <f t="shared" si="4"/>
        <v>0</v>
      </c>
      <c r="T30" s="52">
        <f t="shared" si="5"/>
        <v>0</v>
      </c>
      <c r="U30" s="51">
        <f t="shared" si="6"/>
        <v>80000</v>
      </c>
      <c r="V30" s="53">
        <f t="shared" si="7"/>
        <v>0</v>
      </c>
      <c r="W30" s="53">
        <f t="shared" si="8"/>
        <v>25200</v>
      </c>
      <c r="X30" s="52">
        <f t="shared" si="9"/>
        <v>225200</v>
      </c>
      <c r="BZ30" s="5">
        <f>IF($E$9&gt;=8,1,0)</f>
        <v>1</v>
      </c>
      <c r="CA30" s="31">
        <f t="shared" si="18"/>
        <v>5</v>
      </c>
      <c r="CB30" s="32">
        <f t="shared" si="10"/>
        <v>400000</v>
      </c>
      <c r="CC30" s="33">
        <f t="shared" si="11"/>
        <v>120000</v>
      </c>
      <c r="CD30" s="31">
        <f t="shared" si="17"/>
        <v>15</v>
      </c>
      <c r="CE30" s="34">
        <f>CB30</f>
        <v>400000</v>
      </c>
      <c r="CF30" s="41"/>
      <c r="CG30" s="33"/>
      <c r="CH30" s="41">
        <f>VLOOKUP(CD30,REF!$M$16:$N$18,2,1)</f>
        <v>0.15</v>
      </c>
      <c r="CI30" s="43"/>
      <c r="CJ30" s="41">
        <f>VLOOKUP(SUM($CC$9:$CC$20),REF!$O$2:$P$5,2,1)*IF(AND(SUM(Advisor!$CA$9:$CA$20)&gt;=24,Advisor!$E$9&gt;=7),1,0)</f>
        <v>1.2</v>
      </c>
      <c r="CK30" s="43"/>
      <c r="CL30" s="45">
        <f t="shared" si="19"/>
        <v>80000</v>
      </c>
      <c r="CM30" s="44"/>
      <c r="CO30" s="32">
        <f>CO29</f>
        <v>4</v>
      </c>
      <c r="CP30" s="5">
        <f>IF($G$22&gt;=8,1,0)</f>
        <v>1</v>
      </c>
      <c r="CQ30" s="32">
        <f t="shared" si="12"/>
        <v>8</v>
      </c>
      <c r="CR30" s="32">
        <f t="shared" si="13"/>
        <v>560000</v>
      </c>
      <c r="CS30" s="32">
        <f t="shared" si="14"/>
        <v>168000</v>
      </c>
      <c r="CT30" s="40">
        <f t="shared" si="15"/>
        <v>0.15</v>
      </c>
      <c r="CU30" s="34">
        <f t="shared" si="16"/>
        <v>25200</v>
      </c>
    </row>
    <row r="31" spans="2:99" x14ac:dyDescent="0.3">
      <c r="N31" s="10" t="s">
        <v>49</v>
      </c>
      <c r="O31" s="50">
        <f t="shared" si="0"/>
        <v>5</v>
      </c>
      <c r="P31" s="51">
        <f t="shared" si="1"/>
        <v>400000</v>
      </c>
      <c r="Q31" s="52">
        <f t="shared" si="2"/>
        <v>120000</v>
      </c>
      <c r="R31" s="52">
        <f t="shared" si="3"/>
        <v>0</v>
      </c>
      <c r="S31" s="52">
        <f t="shared" si="4"/>
        <v>0</v>
      </c>
      <c r="T31" s="52">
        <f t="shared" si="5"/>
        <v>0</v>
      </c>
      <c r="U31" s="51">
        <f t="shared" si="6"/>
        <v>80000</v>
      </c>
      <c r="V31" s="53">
        <f t="shared" si="7"/>
        <v>0</v>
      </c>
      <c r="W31" s="53">
        <f t="shared" si="8"/>
        <v>25200</v>
      </c>
      <c r="X31" s="52">
        <f t="shared" si="9"/>
        <v>225200</v>
      </c>
      <c r="BZ31" s="5">
        <f>IF($E$9&gt;=7,1,0)</f>
        <v>1</v>
      </c>
      <c r="CA31" s="31">
        <f t="shared" si="18"/>
        <v>5</v>
      </c>
      <c r="CB31" s="32">
        <f t="shared" si="10"/>
        <v>400000</v>
      </c>
      <c r="CC31" s="33">
        <f t="shared" si="11"/>
        <v>120000</v>
      </c>
      <c r="CD31" s="31">
        <f t="shared" si="17"/>
        <v>15</v>
      </c>
      <c r="CE31" s="34">
        <f>CB31+CE30</f>
        <v>800000</v>
      </c>
      <c r="CF31" s="41"/>
      <c r="CG31" s="33"/>
      <c r="CH31" s="41">
        <f>VLOOKUP(CD31,REF!$M$16:$N$18,2,1)</f>
        <v>0.15</v>
      </c>
      <c r="CI31" s="43"/>
      <c r="CJ31" s="41">
        <f>VLOOKUP(SUM($CC$9:$CC$20),REF!$O$2:$P$5,2,1)*IF(AND(SUM(Advisor!$CA$9:$CA$20)&gt;=24,Advisor!$E$9&gt;=7),1,0)</f>
        <v>1.2</v>
      </c>
      <c r="CK31" s="43"/>
      <c r="CL31" s="45">
        <f t="shared" si="19"/>
        <v>80000</v>
      </c>
      <c r="CM31" s="44"/>
      <c r="CO31" s="32">
        <f>CO30</f>
        <v>4</v>
      </c>
      <c r="CP31" s="5">
        <f>IF($G$22&gt;=7,1,0)</f>
        <v>1</v>
      </c>
      <c r="CQ31" s="32">
        <f t="shared" si="12"/>
        <v>8</v>
      </c>
      <c r="CR31" s="32">
        <f t="shared" si="13"/>
        <v>560000</v>
      </c>
      <c r="CS31" s="32">
        <f t="shared" si="14"/>
        <v>168000</v>
      </c>
      <c r="CT31" s="40">
        <f t="shared" si="15"/>
        <v>0.15</v>
      </c>
      <c r="CU31" s="34">
        <f t="shared" si="16"/>
        <v>25200</v>
      </c>
    </row>
    <row r="32" spans="2:99" x14ac:dyDescent="0.3">
      <c r="N32" s="10" t="s">
        <v>50</v>
      </c>
      <c r="O32" s="50">
        <f t="shared" si="0"/>
        <v>5</v>
      </c>
      <c r="P32" s="51">
        <f t="shared" si="1"/>
        <v>400000</v>
      </c>
      <c r="Q32" s="52">
        <f t="shared" si="2"/>
        <v>120000</v>
      </c>
      <c r="R32" s="52">
        <f t="shared" si="3"/>
        <v>72000</v>
      </c>
      <c r="S32" s="52">
        <f t="shared" si="4"/>
        <v>0</v>
      </c>
      <c r="T32" s="52">
        <f t="shared" si="5"/>
        <v>0</v>
      </c>
      <c r="U32" s="51">
        <f t="shared" si="6"/>
        <v>80000</v>
      </c>
      <c r="V32" s="53">
        <f t="shared" si="7"/>
        <v>96000</v>
      </c>
      <c r="W32" s="53">
        <f t="shared" si="8"/>
        <v>25200</v>
      </c>
      <c r="X32" s="52">
        <f t="shared" si="9"/>
        <v>393200</v>
      </c>
      <c r="BZ32" s="5">
        <v>1</v>
      </c>
      <c r="CA32" s="31">
        <f t="shared" si="18"/>
        <v>5</v>
      </c>
      <c r="CB32" s="32">
        <f t="shared" si="10"/>
        <v>400000</v>
      </c>
      <c r="CC32" s="33">
        <f t="shared" si="11"/>
        <v>120000</v>
      </c>
      <c r="CD32" s="31">
        <f t="shared" si="17"/>
        <v>15</v>
      </c>
      <c r="CE32" s="34">
        <f>CB32+CE31</f>
        <v>1200000</v>
      </c>
      <c r="CF32" s="41">
        <f>VLOOKUP(CE32,REF!$J$4:$K$10,2,1)</f>
        <v>0.2</v>
      </c>
      <c r="CG32" s="33">
        <f>SUM(CC30:CC32)*CF32</f>
        <v>72000</v>
      </c>
      <c r="CH32" s="41">
        <f>VLOOKUP(CD32,REF!$M$16:$N$18,2,1)</f>
        <v>0.15</v>
      </c>
      <c r="CI32" s="43"/>
      <c r="CJ32" s="41">
        <f>VLOOKUP(SUM($CC$9:$CC$20),REF!$O$2:$P$5,2,1)*IF(AND(SUM(Advisor!$CA$9:$CA$20)&gt;=24,Advisor!$E$9&gt;=7),1,0)</f>
        <v>1.2</v>
      </c>
      <c r="CK32" s="43"/>
      <c r="CL32" s="45">
        <f t="shared" si="19"/>
        <v>80000</v>
      </c>
      <c r="CM32" s="43">
        <f>SUM(CL30:CL32)*0.4</f>
        <v>96000</v>
      </c>
      <c r="CO32" s="32">
        <f>CO31+E18</f>
        <v>4</v>
      </c>
      <c r="CP32" s="5">
        <v>1</v>
      </c>
      <c r="CQ32" s="32">
        <f t="shared" si="12"/>
        <v>8</v>
      </c>
      <c r="CR32" s="32">
        <f t="shared" si="13"/>
        <v>560000</v>
      </c>
      <c r="CS32" s="32">
        <f t="shared" si="14"/>
        <v>168000</v>
      </c>
      <c r="CT32" s="40">
        <f t="shared" si="15"/>
        <v>0.15</v>
      </c>
      <c r="CU32" s="34">
        <f t="shared" si="16"/>
        <v>25200</v>
      </c>
    </row>
    <row r="33" spans="14:104" x14ac:dyDescent="0.3">
      <c r="N33" s="10" t="s">
        <v>51</v>
      </c>
      <c r="O33" s="50">
        <f t="shared" si="0"/>
        <v>5</v>
      </c>
      <c r="P33" s="51">
        <f t="shared" si="1"/>
        <v>400000</v>
      </c>
      <c r="Q33" s="52">
        <f t="shared" si="2"/>
        <v>120000</v>
      </c>
      <c r="R33" s="52">
        <f t="shared" si="3"/>
        <v>0</v>
      </c>
      <c r="S33" s="52">
        <f t="shared" si="4"/>
        <v>0</v>
      </c>
      <c r="T33" s="52">
        <f t="shared" si="5"/>
        <v>0</v>
      </c>
      <c r="U33" s="51">
        <f t="shared" si="6"/>
        <v>100000</v>
      </c>
      <c r="V33" s="53">
        <f t="shared" si="7"/>
        <v>0</v>
      </c>
      <c r="W33" s="53">
        <f t="shared" si="8"/>
        <v>25200</v>
      </c>
      <c r="X33" s="52">
        <f t="shared" si="9"/>
        <v>245200</v>
      </c>
      <c r="BZ33" s="5">
        <f>IF($E$9&gt;=6,1,0)</f>
        <v>1</v>
      </c>
      <c r="CA33" s="31">
        <f t="shared" si="18"/>
        <v>5</v>
      </c>
      <c r="CB33" s="32">
        <f t="shared" si="10"/>
        <v>400000</v>
      </c>
      <c r="CC33" s="33">
        <f t="shared" si="11"/>
        <v>120000</v>
      </c>
      <c r="CD33" s="31">
        <f t="shared" si="17"/>
        <v>15</v>
      </c>
      <c r="CE33" s="34">
        <f>CB33</f>
        <v>400000</v>
      </c>
      <c r="CF33" s="41"/>
      <c r="CG33" s="33"/>
      <c r="CH33" s="41">
        <f>VLOOKUP(CD33,REF!$M$16:$N$18,2,1)</f>
        <v>0.15</v>
      </c>
      <c r="CI33" s="43"/>
      <c r="CJ33" s="41">
        <f>VLOOKUP(SUM($CC$9:$CC$20),REF!$O$2:$P$5,2,1)*IF(AND(SUM(Advisor!$CA$9:$CA$20)&gt;=24,Advisor!$E$9&gt;=7),1,0)</f>
        <v>1.2</v>
      </c>
      <c r="CK33" s="43"/>
      <c r="CL33" s="45">
        <f>CB21*0.2+(CB9*0.05)</f>
        <v>100000</v>
      </c>
      <c r="CM33" s="44"/>
      <c r="CO33" s="32">
        <f>CO32</f>
        <v>4</v>
      </c>
      <c r="CP33" s="5">
        <f>IF($G$22&gt;=6,1,0)</f>
        <v>1</v>
      </c>
      <c r="CQ33" s="32">
        <f t="shared" si="12"/>
        <v>8</v>
      </c>
      <c r="CR33" s="32">
        <f t="shared" si="13"/>
        <v>560000</v>
      </c>
      <c r="CS33" s="32">
        <f t="shared" si="14"/>
        <v>168000</v>
      </c>
      <c r="CT33" s="40">
        <f t="shared" si="15"/>
        <v>0.15</v>
      </c>
      <c r="CU33" s="34">
        <f t="shared" si="16"/>
        <v>25200</v>
      </c>
    </row>
    <row r="34" spans="14:104" x14ac:dyDescent="0.3">
      <c r="N34" s="10" t="s">
        <v>52</v>
      </c>
      <c r="O34" s="50">
        <f t="shared" si="0"/>
        <v>5</v>
      </c>
      <c r="P34" s="51">
        <f t="shared" si="1"/>
        <v>400000</v>
      </c>
      <c r="Q34" s="52">
        <f t="shared" si="2"/>
        <v>120000</v>
      </c>
      <c r="R34" s="52">
        <f t="shared" si="3"/>
        <v>0</v>
      </c>
      <c r="S34" s="52">
        <f t="shared" si="4"/>
        <v>0</v>
      </c>
      <c r="T34" s="52">
        <f t="shared" si="5"/>
        <v>0</v>
      </c>
      <c r="U34" s="51">
        <f t="shared" si="6"/>
        <v>100000</v>
      </c>
      <c r="V34" s="53">
        <f t="shared" si="7"/>
        <v>0</v>
      </c>
      <c r="W34" s="53">
        <f t="shared" si="8"/>
        <v>25200</v>
      </c>
      <c r="X34" s="52">
        <f t="shared" si="9"/>
        <v>245200</v>
      </c>
      <c r="BZ34" s="5">
        <f>IF($E$9&gt;=5,1,0)</f>
        <v>1</v>
      </c>
      <c r="CA34" s="31">
        <f t="shared" si="18"/>
        <v>5</v>
      </c>
      <c r="CB34" s="32">
        <f t="shared" si="10"/>
        <v>400000</v>
      </c>
      <c r="CC34" s="33">
        <f t="shared" si="11"/>
        <v>120000</v>
      </c>
      <c r="CD34" s="31">
        <f t="shared" si="17"/>
        <v>15</v>
      </c>
      <c r="CE34" s="34">
        <f>CB34+CE33</f>
        <v>800000</v>
      </c>
      <c r="CF34" s="41"/>
      <c r="CG34" s="33"/>
      <c r="CH34" s="41">
        <f>VLOOKUP(CD34,REF!$M$16:$N$18,2,1)</f>
        <v>0.15</v>
      </c>
      <c r="CI34" s="43"/>
      <c r="CJ34" s="41">
        <f>VLOOKUP(SUM($CC$9:$CC$20),REF!$O$2:$P$5,2,1)*IF(AND(SUM(Advisor!$CA$9:$CA$20)&gt;=24,Advisor!$E$9&gt;=7),1,0)</f>
        <v>1.2</v>
      </c>
      <c r="CK34" s="43"/>
      <c r="CL34" s="45">
        <f t="shared" ref="CL34:CL44" si="20">CB22*0.2+(CB10*0.05)</f>
        <v>100000</v>
      </c>
      <c r="CM34" s="44"/>
      <c r="CO34" s="32">
        <f>CO33</f>
        <v>4</v>
      </c>
      <c r="CP34" s="5">
        <f>IF($G$22&gt;=5,1,0)</f>
        <v>1</v>
      </c>
      <c r="CQ34" s="32">
        <f t="shared" si="12"/>
        <v>8</v>
      </c>
      <c r="CR34" s="32">
        <f t="shared" si="13"/>
        <v>560000</v>
      </c>
      <c r="CS34" s="32">
        <f t="shared" si="14"/>
        <v>168000</v>
      </c>
      <c r="CT34" s="40">
        <f t="shared" si="15"/>
        <v>0.15</v>
      </c>
      <c r="CU34" s="34">
        <f t="shared" si="16"/>
        <v>25200</v>
      </c>
    </row>
    <row r="35" spans="14:104" x14ac:dyDescent="0.3">
      <c r="N35" s="10" t="s">
        <v>53</v>
      </c>
      <c r="O35" s="50">
        <f t="shared" si="0"/>
        <v>5</v>
      </c>
      <c r="P35" s="51">
        <f t="shared" si="1"/>
        <v>400000</v>
      </c>
      <c r="Q35" s="52">
        <f t="shared" si="2"/>
        <v>120000</v>
      </c>
      <c r="R35" s="52">
        <f t="shared" si="3"/>
        <v>72000</v>
      </c>
      <c r="S35" s="52">
        <f t="shared" si="4"/>
        <v>0</v>
      </c>
      <c r="T35" s="52">
        <f t="shared" si="5"/>
        <v>0</v>
      </c>
      <c r="U35" s="51">
        <f t="shared" si="6"/>
        <v>100000</v>
      </c>
      <c r="V35" s="53">
        <f t="shared" si="7"/>
        <v>120000</v>
      </c>
      <c r="W35" s="53">
        <f t="shared" si="8"/>
        <v>37800</v>
      </c>
      <c r="X35" s="52">
        <f t="shared" si="9"/>
        <v>449800</v>
      </c>
      <c r="BZ35" s="5">
        <v>1</v>
      </c>
      <c r="CA35" s="31">
        <f t="shared" si="18"/>
        <v>5</v>
      </c>
      <c r="CB35" s="32">
        <f t="shared" si="10"/>
        <v>400000</v>
      </c>
      <c r="CC35" s="33">
        <f t="shared" si="11"/>
        <v>120000</v>
      </c>
      <c r="CD35" s="31">
        <f t="shared" si="17"/>
        <v>15</v>
      </c>
      <c r="CE35" s="34">
        <f>CB35+CE34</f>
        <v>1200000</v>
      </c>
      <c r="CF35" s="41">
        <f>VLOOKUP(CE35,REF!$J$4:$K$10,2,1)</f>
        <v>0.2</v>
      </c>
      <c r="CG35" s="33">
        <f>SUM(CC33:CC35)*CF35</f>
        <v>72000</v>
      </c>
      <c r="CH35" s="41">
        <f>VLOOKUP(CD35,REF!$M$16:$N$18,2,1)</f>
        <v>0.15</v>
      </c>
      <c r="CI35" s="43"/>
      <c r="CJ35" s="41">
        <f>VLOOKUP(SUM($CC$9:$CC$20),REF!$O$2:$P$5,2,1)*IF(AND(SUM(Advisor!$CA$9:$CA$20)&gt;=24,Advisor!$E$9&gt;=7),1,0)</f>
        <v>1.2</v>
      </c>
      <c r="CK35" s="43"/>
      <c r="CL35" s="45">
        <f t="shared" si="20"/>
        <v>100000</v>
      </c>
      <c r="CM35" s="43">
        <f>SUM(CL33:CL35)*0.4</f>
        <v>120000</v>
      </c>
      <c r="CO35" s="32">
        <f>CO34+G15</f>
        <v>6</v>
      </c>
      <c r="CP35" s="5">
        <v>1</v>
      </c>
      <c r="CQ35" s="32">
        <f t="shared" ref="CQ35:CQ41" si="21">CP35*$G$20*CO35</f>
        <v>12</v>
      </c>
      <c r="CR35" s="32">
        <f t="shared" si="13"/>
        <v>840000</v>
      </c>
      <c r="CS35" s="32">
        <f>CR35*0.3</f>
        <v>252000</v>
      </c>
      <c r="CT35" s="40">
        <f t="shared" si="15"/>
        <v>0.15</v>
      </c>
      <c r="CU35" s="86">
        <f>(CT35*CS35)-CZ35</f>
        <v>37800</v>
      </c>
      <c r="CV35" s="34">
        <f>CO11</f>
        <v>0</v>
      </c>
      <c r="CW35" s="32">
        <f>CP35*$G$20*CV35</f>
        <v>0</v>
      </c>
      <c r="CX35" s="32">
        <f t="shared" ref="CX35:CX44" si="22">CW35*$H$21</f>
        <v>0</v>
      </c>
      <c r="CY35" s="32">
        <f t="shared" ref="CY35:CY44" si="23">CX35*0.3</f>
        <v>0</v>
      </c>
      <c r="CZ35" s="34">
        <f>CY35*CT35</f>
        <v>0</v>
      </c>
    </row>
    <row r="36" spans="14:104" x14ac:dyDescent="0.3">
      <c r="N36" s="10" t="s">
        <v>54</v>
      </c>
      <c r="O36" s="50">
        <f t="shared" si="0"/>
        <v>5</v>
      </c>
      <c r="P36" s="51">
        <f t="shared" si="1"/>
        <v>400000</v>
      </c>
      <c r="Q36" s="52">
        <f t="shared" si="2"/>
        <v>120000</v>
      </c>
      <c r="R36" s="52">
        <f t="shared" si="3"/>
        <v>0</v>
      </c>
      <c r="S36" s="52">
        <f t="shared" si="4"/>
        <v>0</v>
      </c>
      <c r="T36" s="52">
        <f t="shared" si="5"/>
        <v>0</v>
      </c>
      <c r="U36" s="51">
        <f t="shared" si="6"/>
        <v>100000</v>
      </c>
      <c r="V36" s="53">
        <f t="shared" si="7"/>
        <v>0</v>
      </c>
      <c r="W36" s="53">
        <f t="shared" si="8"/>
        <v>0</v>
      </c>
      <c r="X36" s="52">
        <f t="shared" si="9"/>
        <v>220000</v>
      </c>
      <c r="BZ36" s="5">
        <f>IF($E$9=12,1,0)</f>
        <v>1</v>
      </c>
      <c r="CA36" s="31">
        <f t="shared" si="18"/>
        <v>5</v>
      </c>
      <c r="CB36" s="32">
        <f t="shared" si="10"/>
        <v>400000</v>
      </c>
      <c r="CC36" s="33">
        <f t="shared" si="11"/>
        <v>120000</v>
      </c>
      <c r="CD36" s="31">
        <f t="shared" si="17"/>
        <v>15</v>
      </c>
      <c r="CE36" s="34">
        <f>CB36</f>
        <v>400000</v>
      </c>
      <c r="CF36" s="41"/>
      <c r="CG36" s="33"/>
      <c r="CH36" s="41">
        <f>VLOOKUP(CD36,REF!$M$16:$N$18,2,1)</f>
        <v>0.15</v>
      </c>
      <c r="CI36" s="43"/>
      <c r="CJ36" s="41">
        <f>VLOOKUP(SUM($CC$9:$CC$20),REF!$O$2:$P$5,2,1)*IF(AND(SUM(Advisor!$CA$9:$CA$20)&gt;=24,Advisor!$E$9&gt;=7),1,0)</f>
        <v>1.2</v>
      </c>
      <c r="CK36" s="43"/>
      <c r="CL36" s="45">
        <f t="shared" si="20"/>
        <v>100000</v>
      </c>
      <c r="CM36" s="44"/>
      <c r="CO36" s="32">
        <f>CO35</f>
        <v>6</v>
      </c>
      <c r="CP36" s="5">
        <f>IF($G$22=12,1,0)</f>
        <v>0</v>
      </c>
      <c r="CQ36" s="32">
        <f t="shared" si="21"/>
        <v>0</v>
      </c>
      <c r="CR36" s="32">
        <f t="shared" si="13"/>
        <v>0</v>
      </c>
      <c r="CS36" s="32">
        <f>CR36*0.3</f>
        <v>0</v>
      </c>
      <c r="CT36" s="40">
        <f t="shared" si="15"/>
        <v>0.15</v>
      </c>
      <c r="CU36" s="86">
        <f t="shared" ref="CU36:CU44" si="24">(CT36*CS36)-CZ36</f>
        <v>0</v>
      </c>
      <c r="CV36" s="34">
        <f t="shared" ref="CV36:CV44" si="25">CO12</f>
        <v>0</v>
      </c>
      <c r="CW36" s="32">
        <f>CP36*$G$20*CV36</f>
        <v>0</v>
      </c>
      <c r="CX36" s="32">
        <f t="shared" si="22"/>
        <v>0</v>
      </c>
      <c r="CY36" s="32">
        <f t="shared" si="23"/>
        <v>0</v>
      </c>
      <c r="CZ36" s="34">
        <f t="shared" ref="CZ36:CZ44" si="26">CY36*CT36</f>
        <v>0</v>
      </c>
    </row>
    <row r="37" spans="14:104" x14ac:dyDescent="0.3">
      <c r="N37" s="10" t="s">
        <v>55</v>
      </c>
      <c r="O37" s="50">
        <f t="shared" si="0"/>
        <v>5</v>
      </c>
      <c r="P37" s="51">
        <f t="shared" si="1"/>
        <v>400000</v>
      </c>
      <c r="Q37" s="52">
        <f t="shared" si="2"/>
        <v>120000</v>
      </c>
      <c r="R37" s="52">
        <f t="shared" si="3"/>
        <v>0</v>
      </c>
      <c r="S37" s="52">
        <f t="shared" si="4"/>
        <v>0</v>
      </c>
      <c r="T37" s="52">
        <f t="shared" si="5"/>
        <v>0</v>
      </c>
      <c r="U37" s="51">
        <f t="shared" si="6"/>
        <v>100000</v>
      </c>
      <c r="V37" s="53">
        <f t="shared" si="7"/>
        <v>0</v>
      </c>
      <c r="W37" s="53">
        <f t="shared" si="8"/>
        <v>0</v>
      </c>
      <c r="X37" s="52">
        <f t="shared" si="9"/>
        <v>220000</v>
      </c>
      <c r="BZ37" s="5">
        <f>IF($E$9&gt;=10,1,0)</f>
        <v>1</v>
      </c>
      <c r="CA37" s="31">
        <f t="shared" si="18"/>
        <v>5</v>
      </c>
      <c r="CB37" s="32">
        <f t="shared" si="10"/>
        <v>400000</v>
      </c>
      <c r="CC37" s="33">
        <f t="shared" si="11"/>
        <v>120000</v>
      </c>
      <c r="CD37" s="31">
        <f t="shared" si="17"/>
        <v>15</v>
      </c>
      <c r="CE37" s="34">
        <f>CB37+CE36</f>
        <v>800000</v>
      </c>
      <c r="CF37" s="41"/>
      <c r="CG37" s="33"/>
      <c r="CH37" s="41">
        <f>VLOOKUP(CD37,REF!$M$16:$N$18,2,1)</f>
        <v>0.15</v>
      </c>
      <c r="CI37" s="43"/>
      <c r="CJ37" s="41">
        <f>VLOOKUP(SUM($CC$9:$CC$20),REF!$O$2:$P$5,2,1)*IF(AND(SUM(Advisor!$CA$9:$CA$20)&gt;=24,Advisor!$E$9&gt;=7),1,0)</f>
        <v>1.2</v>
      </c>
      <c r="CK37" s="43"/>
      <c r="CL37" s="45">
        <f t="shared" si="20"/>
        <v>100000</v>
      </c>
      <c r="CM37" s="44"/>
      <c r="CO37" s="32">
        <f>CO36</f>
        <v>6</v>
      </c>
      <c r="CP37" s="5">
        <f>IF($G$22&gt;=10,1,0)</f>
        <v>0</v>
      </c>
      <c r="CQ37" s="32">
        <f t="shared" si="21"/>
        <v>0</v>
      </c>
      <c r="CR37" s="32">
        <f t="shared" si="13"/>
        <v>0</v>
      </c>
      <c r="CS37" s="32">
        <f>CR37*0.3</f>
        <v>0</v>
      </c>
      <c r="CT37" s="40">
        <f t="shared" si="15"/>
        <v>0.15</v>
      </c>
      <c r="CU37" s="86">
        <f t="shared" si="24"/>
        <v>0</v>
      </c>
      <c r="CV37" s="34">
        <f t="shared" si="25"/>
        <v>0</v>
      </c>
      <c r="CW37" s="32">
        <f>CP37*$G$20*CV37</f>
        <v>0</v>
      </c>
      <c r="CX37" s="32">
        <f t="shared" si="22"/>
        <v>0</v>
      </c>
      <c r="CY37" s="32">
        <f t="shared" si="23"/>
        <v>0</v>
      </c>
      <c r="CZ37" s="34">
        <f t="shared" si="26"/>
        <v>0</v>
      </c>
    </row>
    <row r="38" spans="14:104" x14ac:dyDescent="0.3">
      <c r="N38" s="10" t="s">
        <v>56</v>
      </c>
      <c r="O38" s="50">
        <f t="shared" si="0"/>
        <v>5</v>
      </c>
      <c r="P38" s="51">
        <f t="shared" si="1"/>
        <v>400000</v>
      </c>
      <c r="Q38" s="52">
        <f t="shared" si="2"/>
        <v>120000</v>
      </c>
      <c r="R38" s="52">
        <f t="shared" si="3"/>
        <v>72000</v>
      </c>
      <c r="S38" s="52">
        <f t="shared" si="4"/>
        <v>0</v>
      </c>
      <c r="T38" s="52">
        <f t="shared" si="5"/>
        <v>0</v>
      </c>
      <c r="U38" s="51">
        <f t="shared" si="6"/>
        <v>100000</v>
      </c>
      <c r="V38" s="53">
        <f t="shared" si="7"/>
        <v>120000</v>
      </c>
      <c r="W38" s="53">
        <f t="shared" si="8"/>
        <v>37800</v>
      </c>
      <c r="X38" s="52">
        <f t="shared" si="9"/>
        <v>449800</v>
      </c>
      <c r="BZ38" s="5">
        <v>1</v>
      </c>
      <c r="CA38" s="31">
        <f t="shared" si="18"/>
        <v>5</v>
      </c>
      <c r="CB38" s="32">
        <f t="shared" si="10"/>
        <v>400000</v>
      </c>
      <c r="CC38" s="33">
        <f t="shared" si="11"/>
        <v>120000</v>
      </c>
      <c r="CD38" s="31">
        <f t="shared" si="17"/>
        <v>15</v>
      </c>
      <c r="CE38" s="34">
        <f>CB38+CE37</f>
        <v>1200000</v>
      </c>
      <c r="CF38" s="41">
        <f>VLOOKUP(CE38,REF!$J$4:$K$10,2,1)</f>
        <v>0.2</v>
      </c>
      <c r="CG38" s="33">
        <f>SUM(CC36:CC38)*CF38</f>
        <v>72000</v>
      </c>
      <c r="CH38" s="41">
        <f>VLOOKUP(CD38,REF!$M$16:$N$18,2,1)</f>
        <v>0.15</v>
      </c>
      <c r="CI38" s="43"/>
      <c r="CJ38" s="41">
        <f>VLOOKUP(SUM($CC$9:$CC$20),REF!$O$2:$P$5,2,1)*IF(AND(SUM(Advisor!$CA$9:$CA$20)&gt;=24,Advisor!$E$9&gt;=7),1,0)</f>
        <v>1.2</v>
      </c>
      <c r="CK38" s="43"/>
      <c r="CL38" s="45">
        <f t="shared" si="20"/>
        <v>100000</v>
      </c>
      <c r="CM38" s="43">
        <f>SUM(CL36:CL38)*0.4</f>
        <v>120000</v>
      </c>
      <c r="CO38" s="32">
        <f>CO37+G16</f>
        <v>6</v>
      </c>
      <c r="CP38" s="5">
        <v>1</v>
      </c>
      <c r="CQ38" s="32">
        <f t="shared" si="21"/>
        <v>12</v>
      </c>
      <c r="CR38" s="32">
        <f t="shared" si="13"/>
        <v>840000</v>
      </c>
      <c r="CS38" s="32">
        <f>CR38*0.3</f>
        <v>252000</v>
      </c>
      <c r="CT38" s="40">
        <f t="shared" si="15"/>
        <v>0.15</v>
      </c>
      <c r="CU38" s="86">
        <f t="shared" si="24"/>
        <v>37800</v>
      </c>
      <c r="CV38" s="34">
        <f t="shared" si="25"/>
        <v>0</v>
      </c>
      <c r="CW38" s="32">
        <f>CP38*$G$20*CV38</f>
        <v>0</v>
      </c>
      <c r="CX38" s="32">
        <f t="shared" si="22"/>
        <v>0</v>
      </c>
      <c r="CY38" s="32">
        <f t="shared" si="23"/>
        <v>0</v>
      </c>
      <c r="CZ38" s="34">
        <f t="shared" si="26"/>
        <v>0</v>
      </c>
    </row>
    <row r="39" spans="14:104" x14ac:dyDescent="0.3">
      <c r="N39" s="10" t="s">
        <v>57</v>
      </c>
      <c r="O39" s="50">
        <f t="shared" si="0"/>
        <v>5</v>
      </c>
      <c r="P39" s="51">
        <f t="shared" si="1"/>
        <v>400000</v>
      </c>
      <c r="Q39" s="52">
        <f t="shared" si="2"/>
        <v>120000</v>
      </c>
      <c r="R39" s="52">
        <f t="shared" si="3"/>
        <v>0</v>
      </c>
      <c r="S39" s="52">
        <f t="shared" si="4"/>
        <v>0</v>
      </c>
      <c r="T39" s="52">
        <f t="shared" si="5"/>
        <v>0</v>
      </c>
      <c r="U39" s="51">
        <f t="shared" si="6"/>
        <v>100000</v>
      </c>
      <c r="V39" s="53">
        <f t="shared" si="7"/>
        <v>0</v>
      </c>
      <c r="W39" s="53">
        <f t="shared" si="8"/>
        <v>0</v>
      </c>
      <c r="X39" s="52">
        <f t="shared" si="9"/>
        <v>220000</v>
      </c>
      <c r="BZ39" s="5">
        <f>IF($E$9&gt;=11,1,0)</f>
        <v>1</v>
      </c>
      <c r="CA39" s="31">
        <f t="shared" si="18"/>
        <v>5</v>
      </c>
      <c r="CB39" s="32">
        <f t="shared" si="10"/>
        <v>400000</v>
      </c>
      <c r="CC39" s="33">
        <f t="shared" si="11"/>
        <v>120000</v>
      </c>
      <c r="CD39" s="31">
        <f t="shared" si="17"/>
        <v>15</v>
      </c>
      <c r="CE39" s="34">
        <f>CB39</f>
        <v>400000</v>
      </c>
      <c r="CF39" s="41"/>
      <c r="CG39" s="33"/>
      <c r="CH39" s="41">
        <f>VLOOKUP(CD39,REF!$M$16:$N$18,2,1)</f>
        <v>0.15</v>
      </c>
      <c r="CI39" s="43"/>
      <c r="CJ39" s="41">
        <f>VLOOKUP(SUM($CC$9:$CC$20),REF!$O$2:$P$5,2,1)*IF(AND(SUM(Advisor!$CA$9:$CA$20)&gt;=24,Advisor!$E$9&gt;=7),1,0)</f>
        <v>1.2</v>
      </c>
      <c r="CK39" s="43"/>
      <c r="CL39" s="45">
        <f t="shared" si="20"/>
        <v>100000</v>
      </c>
      <c r="CM39" s="44"/>
      <c r="CO39" s="32">
        <f>CO38</f>
        <v>6</v>
      </c>
      <c r="CP39" s="5">
        <f>IF($G$22&gt;=11,1,0)</f>
        <v>0</v>
      </c>
      <c r="CQ39" s="32">
        <f t="shared" si="21"/>
        <v>0</v>
      </c>
      <c r="CR39" s="32">
        <f t="shared" si="13"/>
        <v>0</v>
      </c>
      <c r="CS39" s="32">
        <f>CR39*0.3</f>
        <v>0</v>
      </c>
      <c r="CT39" s="40">
        <f t="shared" si="15"/>
        <v>0.15</v>
      </c>
      <c r="CU39" s="86">
        <f t="shared" si="24"/>
        <v>0</v>
      </c>
      <c r="CV39" s="34">
        <f t="shared" si="25"/>
        <v>0</v>
      </c>
      <c r="CW39" s="32">
        <f>CP39*$G$20*CV39</f>
        <v>0</v>
      </c>
      <c r="CX39" s="32">
        <f t="shared" si="22"/>
        <v>0</v>
      </c>
      <c r="CY39" s="32">
        <f t="shared" si="23"/>
        <v>0</v>
      </c>
      <c r="CZ39" s="34">
        <f t="shared" si="26"/>
        <v>0</v>
      </c>
    </row>
    <row r="40" spans="14:104" x14ac:dyDescent="0.3">
      <c r="N40" s="10" t="s">
        <v>58</v>
      </c>
      <c r="O40" s="50">
        <f t="shared" si="0"/>
        <v>5</v>
      </c>
      <c r="P40" s="51">
        <f t="shared" si="1"/>
        <v>400000</v>
      </c>
      <c r="Q40" s="52">
        <f t="shared" si="2"/>
        <v>120000</v>
      </c>
      <c r="R40" s="52">
        <f t="shared" si="3"/>
        <v>0</v>
      </c>
      <c r="S40" s="52">
        <f t="shared" si="4"/>
        <v>0</v>
      </c>
      <c r="T40" s="52">
        <f t="shared" si="5"/>
        <v>0</v>
      </c>
      <c r="U40" s="51">
        <f t="shared" si="6"/>
        <v>100000</v>
      </c>
      <c r="V40" s="53">
        <f t="shared" si="7"/>
        <v>0</v>
      </c>
      <c r="W40" s="53">
        <f t="shared" si="8"/>
        <v>0</v>
      </c>
      <c r="X40" s="52">
        <f t="shared" si="9"/>
        <v>220000</v>
      </c>
      <c r="BZ40" s="5">
        <f>IF($E$9&gt;=9,1,0)</f>
        <v>1</v>
      </c>
      <c r="CA40" s="31">
        <f t="shared" si="18"/>
        <v>5</v>
      </c>
      <c r="CB40" s="32">
        <f t="shared" si="10"/>
        <v>400000</v>
      </c>
      <c r="CC40" s="33">
        <f t="shared" si="11"/>
        <v>120000</v>
      </c>
      <c r="CD40" s="31">
        <f t="shared" si="17"/>
        <v>15</v>
      </c>
      <c r="CE40" s="34">
        <f>CB40+CE39</f>
        <v>800000</v>
      </c>
      <c r="CF40" s="41"/>
      <c r="CG40" s="33"/>
      <c r="CH40" s="41">
        <f>VLOOKUP(CD40,REF!$M$16:$N$18,2,1)</f>
        <v>0.15</v>
      </c>
      <c r="CI40" s="43"/>
      <c r="CJ40" s="41">
        <f>VLOOKUP(SUM($CC$9:$CC$20),REF!$O$2:$P$5,2,1)*IF(AND(SUM(Advisor!$CA$9:$CA$20)&gt;=24,Advisor!$E$9&gt;=7),1,0)</f>
        <v>1.2</v>
      </c>
      <c r="CK40" s="43"/>
      <c r="CL40" s="45">
        <f t="shared" si="20"/>
        <v>100000</v>
      </c>
      <c r="CM40" s="44"/>
      <c r="CO40" s="32">
        <f>CO39</f>
        <v>6</v>
      </c>
      <c r="CP40" s="5">
        <f>IF($G$22&gt;=9,1,0)</f>
        <v>0</v>
      </c>
      <c r="CQ40" s="32">
        <f t="shared" si="21"/>
        <v>0</v>
      </c>
      <c r="CR40" s="32">
        <f t="shared" si="13"/>
        <v>0</v>
      </c>
      <c r="CS40" s="32">
        <f t="shared" si="14"/>
        <v>0</v>
      </c>
      <c r="CT40" s="40">
        <f t="shared" si="15"/>
        <v>0.15</v>
      </c>
      <c r="CU40" s="86">
        <f t="shared" si="24"/>
        <v>0</v>
      </c>
      <c r="CV40" s="34">
        <f t="shared" si="25"/>
        <v>0</v>
      </c>
      <c r="CW40" s="32">
        <f t="shared" ref="CW40:CW44" si="27">CP40*$G$20*CV40</f>
        <v>0</v>
      </c>
      <c r="CX40" s="32">
        <f t="shared" si="22"/>
        <v>0</v>
      </c>
      <c r="CY40" s="32">
        <f t="shared" si="23"/>
        <v>0</v>
      </c>
      <c r="CZ40" s="34">
        <f t="shared" si="26"/>
        <v>0</v>
      </c>
    </row>
    <row r="41" spans="14:104" x14ac:dyDescent="0.3">
      <c r="N41" s="10" t="s">
        <v>59</v>
      </c>
      <c r="O41" s="50">
        <f t="shared" si="0"/>
        <v>5</v>
      </c>
      <c r="P41" s="51">
        <f t="shared" si="1"/>
        <v>400000</v>
      </c>
      <c r="Q41" s="52">
        <f t="shared" si="2"/>
        <v>120000</v>
      </c>
      <c r="R41" s="52">
        <f t="shared" si="3"/>
        <v>72000</v>
      </c>
      <c r="S41" s="52">
        <f t="shared" si="4"/>
        <v>0</v>
      </c>
      <c r="T41" s="52">
        <f t="shared" si="5"/>
        <v>0</v>
      </c>
      <c r="U41" s="51">
        <f t="shared" si="6"/>
        <v>100000</v>
      </c>
      <c r="V41" s="53">
        <f t="shared" si="7"/>
        <v>120000</v>
      </c>
      <c r="W41" s="53">
        <f t="shared" si="8"/>
        <v>44100</v>
      </c>
      <c r="X41" s="52">
        <f t="shared" si="9"/>
        <v>456100</v>
      </c>
      <c r="BZ41" s="5">
        <v>1</v>
      </c>
      <c r="CA41" s="31">
        <f t="shared" si="18"/>
        <v>5</v>
      </c>
      <c r="CB41" s="32">
        <f t="shared" si="10"/>
        <v>400000</v>
      </c>
      <c r="CC41" s="33">
        <f t="shared" si="11"/>
        <v>120000</v>
      </c>
      <c r="CD41" s="31">
        <f t="shared" si="17"/>
        <v>15</v>
      </c>
      <c r="CE41" s="34">
        <f>CB41+CE40</f>
        <v>1200000</v>
      </c>
      <c r="CF41" s="41">
        <f>VLOOKUP(CE41,REF!$J$4:$K$10,2,1)</f>
        <v>0.2</v>
      </c>
      <c r="CG41" s="33">
        <f>SUM(CC39:CC41)*CF41</f>
        <v>72000</v>
      </c>
      <c r="CH41" s="41">
        <f>VLOOKUP(CD41,REF!$M$16:$N$18,2,1)</f>
        <v>0.15</v>
      </c>
      <c r="CI41" s="43"/>
      <c r="CJ41" s="41">
        <f>VLOOKUP(SUM($CC$9:$CC$20),REF!$O$2:$P$5,2,1)*IF(AND(SUM(Advisor!$CA$9:$CA$20)&gt;=24,Advisor!$E$9&gt;=7),1,0)</f>
        <v>1.2</v>
      </c>
      <c r="CK41" s="43"/>
      <c r="CL41" s="45">
        <f t="shared" si="20"/>
        <v>100000</v>
      </c>
      <c r="CM41" s="43">
        <f>SUM(CL39:CL41)*0.4</f>
        <v>120000</v>
      </c>
      <c r="CO41" s="32">
        <f>CO40+G17</f>
        <v>8</v>
      </c>
      <c r="CP41" s="5">
        <v>1</v>
      </c>
      <c r="CQ41" s="32">
        <f t="shared" si="21"/>
        <v>16</v>
      </c>
      <c r="CR41" s="32">
        <f t="shared" si="13"/>
        <v>1120000</v>
      </c>
      <c r="CS41" s="32">
        <f t="shared" si="14"/>
        <v>336000</v>
      </c>
      <c r="CT41" s="40">
        <f t="shared" si="15"/>
        <v>0.15</v>
      </c>
      <c r="CU41" s="86">
        <f t="shared" si="24"/>
        <v>44100</v>
      </c>
      <c r="CV41" s="34">
        <f t="shared" si="25"/>
        <v>1</v>
      </c>
      <c r="CW41" s="32">
        <f t="shared" si="27"/>
        <v>2</v>
      </c>
      <c r="CX41" s="32">
        <f t="shared" si="22"/>
        <v>140000</v>
      </c>
      <c r="CY41" s="32">
        <f t="shared" si="23"/>
        <v>42000</v>
      </c>
      <c r="CZ41" s="34">
        <f t="shared" si="26"/>
        <v>6300</v>
      </c>
    </row>
    <row r="42" spans="14:104" x14ac:dyDescent="0.3">
      <c r="N42" s="10" t="s">
        <v>60</v>
      </c>
      <c r="O42" s="50">
        <f t="shared" si="0"/>
        <v>5</v>
      </c>
      <c r="P42" s="51">
        <f t="shared" si="1"/>
        <v>400000</v>
      </c>
      <c r="Q42" s="52">
        <f t="shared" si="2"/>
        <v>120000</v>
      </c>
      <c r="R42" s="52">
        <f t="shared" si="3"/>
        <v>0</v>
      </c>
      <c r="S42" s="52">
        <f t="shared" si="4"/>
        <v>0</v>
      </c>
      <c r="T42" s="52">
        <f t="shared" si="5"/>
        <v>0</v>
      </c>
      <c r="U42" s="51">
        <f t="shared" si="6"/>
        <v>100000</v>
      </c>
      <c r="V42" s="53">
        <f t="shared" si="7"/>
        <v>0</v>
      </c>
      <c r="W42" s="53">
        <f t="shared" si="8"/>
        <v>44100</v>
      </c>
      <c r="X42" s="52">
        <f t="shared" si="9"/>
        <v>264100</v>
      </c>
      <c r="BZ42" s="5">
        <f>IF($E$9&gt;=8,1,0)</f>
        <v>1</v>
      </c>
      <c r="CA42" s="31">
        <f t="shared" si="18"/>
        <v>5</v>
      </c>
      <c r="CB42" s="32">
        <f t="shared" si="10"/>
        <v>400000</v>
      </c>
      <c r="CC42" s="33">
        <f t="shared" si="11"/>
        <v>120000</v>
      </c>
      <c r="CD42" s="31">
        <f t="shared" si="17"/>
        <v>15</v>
      </c>
      <c r="CE42" s="34">
        <f>CB42</f>
        <v>400000</v>
      </c>
      <c r="CF42" s="41"/>
      <c r="CG42" s="33"/>
      <c r="CH42" s="41">
        <f>VLOOKUP(CD42,REF!$M$16:$N$18,2,1)</f>
        <v>0.15</v>
      </c>
      <c r="CI42" s="43"/>
      <c r="CJ42" s="41">
        <f>VLOOKUP(SUM($CC$9:$CC$20),REF!$O$2:$P$5,2,1)*IF(AND(SUM(Advisor!$CA$9:$CA$20)&gt;=24,Advisor!$E$9&gt;=7),1,0)</f>
        <v>1.2</v>
      </c>
      <c r="CK42" s="43"/>
      <c r="CL42" s="45">
        <f t="shared" si="20"/>
        <v>100000</v>
      </c>
      <c r="CM42" s="44"/>
      <c r="CO42" s="32">
        <f>CO41</f>
        <v>8</v>
      </c>
      <c r="CP42" s="5">
        <f>IF($G$22&gt;=8,1,0)</f>
        <v>1</v>
      </c>
      <c r="CQ42" s="32">
        <f t="shared" si="12"/>
        <v>16</v>
      </c>
      <c r="CR42" s="32">
        <f t="shared" si="13"/>
        <v>1120000</v>
      </c>
      <c r="CS42" s="32">
        <f t="shared" si="14"/>
        <v>336000</v>
      </c>
      <c r="CT42" s="40">
        <f t="shared" si="15"/>
        <v>0.15</v>
      </c>
      <c r="CU42" s="86">
        <f t="shared" si="24"/>
        <v>44100</v>
      </c>
      <c r="CV42" s="34">
        <f t="shared" si="25"/>
        <v>1</v>
      </c>
      <c r="CW42" s="32">
        <f t="shared" si="27"/>
        <v>2</v>
      </c>
      <c r="CX42" s="32">
        <f t="shared" si="22"/>
        <v>140000</v>
      </c>
      <c r="CY42" s="32">
        <f t="shared" si="23"/>
        <v>42000</v>
      </c>
      <c r="CZ42" s="34">
        <f t="shared" si="26"/>
        <v>6300</v>
      </c>
    </row>
    <row r="43" spans="14:104" x14ac:dyDescent="0.3">
      <c r="N43" s="10" t="s">
        <v>61</v>
      </c>
      <c r="O43" s="50">
        <f t="shared" si="0"/>
        <v>5</v>
      </c>
      <c r="P43" s="51">
        <f t="shared" si="1"/>
        <v>400000</v>
      </c>
      <c r="Q43" s="52">
        <f t="shared" si="2"/>
        <v>120000</v>
      </c>
      <c r="R43" s="52">
        <f t="shared" si="3"/>
        <v>0</v>
      </c>
      <c r="S43" s="52">
        <f t="shared" si="4"/>
        <v>0</v>
      </c>
      <c r="T43" s="52">
        <f t="shared" si="5"/>
        <v>0</v>
      </c>
      <c r="U43" s="51">
        <f t="shared" si="6"/>
        <v>100000</v>
      </c>
      <c r="V43" s="53">
        <f t="shared" si="7"/>
        <v>0</v>
      </c>
      <c r="W43" s="53">
        <f t="shared" si="8"/>
        <v>44100</v>
      </c>
      <c r="X43" s="52">
        <f t="shared" si="9"/>
        <v>264100</v>
      </c>
      <c r="BZ43" s="5">
        <f>IF($E$9&gt;=7,1,0)</f>
        <v>1</v>
      </c>
      <c r="CA43" s="31">
        <f t="shared" si="18"/>
        <v>5</v>
      </c>
      <c r="CB43" s="32">
        <f t="shared" si="10"/>
        <v>400000</v>
      </c>
      <c r="CC43" s="33">
        <f t="shared" si="11"/>
        <v>120000</v>
      </c>
      <c r="CD43" s="31">
        <f t="shared" si="17"/>
        <v>15</v>
      </c>
      <c r="CE43" s="34">
        <f>CB43+CE42</f>
        <v>800000</v>
      </c>
      <c r="CF43" s="41"/>
      <c r="CG43" s="33"/>
      <c r="CH43" s="41">
        <f>VLOOKUP(CD43,REF!$M$16:$N$18,2,1)</f>
        <v>0.15</v>
      </c>
      <c r="CI43" s="43"/>
      <c r="CJ43" s="41">
        <f>VLOOKUP(SUM($CC$9:$CC$20),REF!$O$2:$P$5,2,1)*IF(AND(SUM(Advisor!$CA$9:$CA$20)&gt;=24,Advisor!$E$9&gt;=7),1,0)</f>
        <v>1.2</v>
      </c>
      <c r="CK43" s="43"/>
      <c r="CL43" s="45">
        <f t="shared" si="20"/>
        <v>100000</v>
      </c>
      <c r="CM43" s="44"/>
      <c r="CO43" s="32">
        <f>CO42</f>
        <v>8</v>
      </c>
      <c r="CP43" s="5">
        <f>IF($G$22&gt;=7,1,0)</f>
        <v>1</v>
      </c>
      <c r="CQ43" s="32">
        <f t="shared" si="12"/>
        <v>16</v>
      </c>
      <c r="CR43" s="32">
        <f t="shared" si="13"/>
        <v>1120000</v>
      </c>
      <c r="CS43" s="32">
        <f t="shared" si="14"/>
        <v>336000</v>
      </c>
      <c r="CT43" s="40">
        <f t="shared" si="15"/>
        <v>0.15</v>
      </c>
      <c r="CU43" s="86">
        <f t="shared" si="24"/>
        <v>44100</v>
      </c>
      <c r="CV43" s="34">
        <f t="shared" si="25"/>
        <v>1</v>
      </c>
      <c r="CW43" s="32">
        <f t="shared" si="27"/>
        <v>2</v>
      </c>
      <c r="CX43" s="32">
        <f t="shared" si="22"/>
        <v>140000</v>
      </c>
      <c r="CY43" s="32">
        <f t="shared" si="23"/>
        <v>42000</v>
      </c>
      <c r="CZ43" s="34">
        <f t="shared" si="26"/>
        <v>6300</v>
      </c>
    </row>
    <row r="44" spans="14:104" x14ac:dyDescent="0.3">
      <c r="N44" s="10" t="s">
        <v>62</v>
      </c>
      <c r="O44" s="50">
        <f t="shared" si="0"/>
        <v>5</v>
      </c>
      <c r="P44" s="51">
        <f t="shared" si="1"/>
        <v>400000</v>
      </c>
      <c r="Q44" s="52">
        <f t="shared" si="2"/>
        <v>120000</v>
      </c>
      <c r="R44" s="52">
        <f t="shared" si="3"/>
        <v>72000</v>
      </c>
      <c r="S44" s="52">
        <f t="shared" si="4"/>
        <v>0</v>
      </c>
      <c r="T44" s="52">
        <f t="shared" si="5"/>
        <v>0</v>
      </c>
      <c r="U44" s="51">
        <f t="shared" si="6"/>
        <v>100000</v>
      </c>
      <c r="V44" s="53">
        <f t="shared" si="7"/>
        <v>120000</v>
      </c>
      <c r="W44" s="53">
        <f t="shared" si="8"/>
        <v>37800</v>
      </c>
      <c r="X44" s="52">
        <f t="shared" si="9"/>
        <v>449800</v>
      </c>
      <c r="BZ44" s="5">
        <v>1</v>
      </c>
      <c r="CA44" s="31">
        <f t="shared" si="18"/>
        <v>5</v>
      </c>
      <c r="CB44" s="32">
        <f t="shared" si="10"/>
        <v>400000</v>
      </c>
      <c r="CC44" s="33">
        <f t="shared" si="11"/>
        <v>120000</v>
      </c>
      <c r="CD44" s="31">
        <f t="shared" si="17"/>
        <v>15</v>
      </c>
      <c r="CE44" s="34">
        <f>CB44+CE43</f>
        <v>1200000</v>
      </c>
      <c r="CF44" s="41">
        <f>VLOOKUP(CE44,REF!$J$4:$K$10,2,1)</f>
        <v>0.2</v>
      </c>
      <c r="CG44" s="33">
        <f>SUM(CC42:CC44)*CF44</f>
        <v>72000</v>
      </c>
      <c r="CH44" s="41">
        <f>VLOOKUP(CD44,REF!$M$16:$N$18,2,1)</f>
        <v>0.15</v>
      </c>
      <c r="CI44" s="43"/>
      <c r="CJ44" s="41">
        <f>VLOOKUP(SUM($CC$9:$CC$20),REF!$O$2:$P$5,2,1)*IF(AND(SUM(Advisor!$CA$9:$CA$20)&gt;=24,Advisor!$E$9&gt;=7),1,0)</f>
        <v>1.2</v>
      </c>
      <c r="CK44" s="43"/>
      <c r="CL44" s="45">
        <f t="shared" si="20"/>
        <v>100000</v>
      </c>
      <c r="CM44" s="43">
        <f>SUM(CL42:CL44)*0.4</f>
        <v>120000</v>
      </c>
      <c r="CO44" s="32">
        <f>CO43+G18</f>
        <v>8</v>
      </c>
      <c r="CP44" s="5">
        <v>1</v>
      </c>
      <c r="CQ44" s="32">
        <f t="shared" si="12"/>
        <v>16</v>
      </c>
      <c r="CR44" s="32">
        <f t="shared" si="13"/>
        <v>1120000</v>
      </c>
      <c r="CS44" s="32">
        <f t="shared" si="14"/>
        <v>336000</v>
      </c>
      <c r="CT44" s="40">
        <f t="shared" si="15"/>
        <v>0.15</v>
      </c>
      <c r="CU44" s="86">
        <f t="shared" si="24"/>
        <v>37800</v>
      </c>
      <c r="CV44" s="34">
        <f t="shared" si="25"/>
        <v>2</v>
      </c>
      <c r="CW44" s="32">
        <f t="shared" si="27"/>
        <v>4</v>
      </c>
      <c r="CX44" s="32">
        <f t="shared" si="22"/>
        <v>280000</v>
      </c>
      <c r="CY44" s="32">
        <f t="shared" si="23"/>
        <v>84000</v>
      </c>
      <c r="CZ44" s="34">
        <f t="shared" si="26"/>
        <v>12600</v>
      </c>
    </row>
    <row r="45" spans="14:104" x14ac:dyDescent="0.3">
      <c r="N45" s="10" t="s">
        <v>73</v>
      </c>
      <c r="O45" s="50">
        <f t="shared" ref="O45:X45" si="28">SUM(O9:O44)</f>
        <v>180</v>
      </c>
      <c r="P45" s="51">
        <f t="shared" si="28"/>
        <v>14400000</v>
      </c>
      <c r="Q45" s="51">
        <f t="shared" si="28"/>
        <v>4320000</v>
      </c>
      <c r="R45" s="51">
        <f t="shared" si="28"/>
        <v>882000</v>
      </c>
      <c r="S45" s="51">
        <f t="shared" si="28"/>
        <v>0</v>
      </c>
      <c r="T45" s="51">
        <f t="shared" si="28"/>
        <v>0</v>
      </c>
      <c r="U45" s="51">
        <f t="shared" si="28"/>
        <v>2160000</v>
      </c>
      <c r="V45" s="51">
        <f t="shared" si="28"/>
        <v>864000</v>
      </c>
      <c r="W45" s="51">
        <f t="shared" si="28"/>
        <v>491400</v>
      </c>
      <c r="X45" s="52">
        <f t="shared" si="28"/>
        <v>8717400</v>
      </c>
    </row>
  </sheetData>
  <sheetProtection algorithmName="SHA-512" hashValue="5zWvdbBzdFRAUfbutKgLbakuy1d/Ex3eIpg+XG3gQmmk0DpdrvmxqwMWqd7u33Yrz36j4JT0dINweuo7a6dIiw==" saltValue="HZ+AI5hM8Ch09cd/7jDDaA==" spinCount="100000" sheet="1" objects="1" scenarios="1"/>
  <dataValidations count="2">
    <dataValidation type="list" allowBlank="1" showInputMessage="1" showErrorMessage="1" sqref="B11" xr:uid="{00000000-0002-0000-0000-000000000000}">
      <formula1>"Y, N"</formula1>
    </dataValidation>
    <dataValidation type="whole" allowBlank="1" showInputMessage="1" showErrorMessage="1" errorTitle="Incorrect Input" error="Please re-enter values from 4 to 12." sqref="E9" xr:uid="{00000000-0002-0000-0000-000001000000}">
      <formula1>4</formula1>
      <formula2>12</formula2>
    </dataValidation>
  </dataValidations>
  <pageMargins left="0.7" right="0.7" top="0.75" bottom="0.75" header="0.3" footer="0.3"/>
  <pageSetup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I45"/>
  <sheetViews>
    <sheetView showGridLines="0" workbookViewId="0">
      <selection activeCell="W19" sqref="W19"/>
    </sheetView>
  </sheetViews>
  <sheetFormatPr defaultRowHeight="14.4" x14ac:dyDescent="0.3"/>
  <cols>
    <col min="1" max="1" width="2.88671875" customWidth="1"/>
    <col min="6" max="6" width="9.109375" customWidth="1"/>
    <col min="15" max="15" width="3" style="7" customWidth="1"/>
    <col min="16" max="16" width="4.109375" customWidth="1"/>
    <col min="18" max="28" width="15.6640625" customWidth="1"/>
    <col min="29" max="29" width="15.6640625" style="62" customWidth="1"/>
    <col min="30" max="30" width="15.6640625" customWidth="1"/>
    <col min="32" max="32" width="14.33203125" style="72" hidden="1" customWidth="1"/>
    <col min="33" max="33" width="0" style="72" hidden="1" customWidth="1"/>
    <col min="35" max="35" width="18.33203125" bestFit="1" customWidth="1"/>
    <col min="36" max="36" width="2.88671875" customWidth="1"/>
  </cols>
  <sheetData>
    <row r="1" spans="2:35" x14ac:dyDescent="0.3">
      <c r="AC1"/>
    </row>
    <row r="2" spans="2:35" ht="33.6" x14ac:dyDescent="0.65">
      <c r="B2" s="4" t="s">
        <v>106</v>
      </c>
      <c r="AC2"/>
    </row>
    <row r="3" spans="2:35" x14ac:dyDescent="0.3">
      <c r="B3" s="2" t="s">
        <v>0</v>
      </c>
      <c r="AC3"/>
    </row>
    <row r="4" spans="2:35" ht="8.25" customHeight="1" x14ac:dyDescent="0.3">
      <c r="AC4"/>
    </row>
    <row r="5" spans="2:35" ht="18" x14ac:dyDescent="0.35">
      <c r="B5" s="3" t="s">
        <v>115</v>
      </c>
      <c r="Q5" s="3" t="s">
        <v>27</v>
      </c>
      <c r="AC5"/>
      <c r="AH5" s="3" t="s">
        <v>104</v>
      </c>
    </row>
    <row r="6" spans="2:35" x14ac:dyDescent="0.3">
      <c r="B6" s="57" t="s">
        <v>116</v>
      </c>
      <c r="Q6" s="46" t="s">
        <v>102</v>
      </c>
      <c r="AC6"/>
    </row>
    <row r="7" spans="2:35" x14ac:dyDescent="0.3">
      <c r="Q7" s="46" t="s">
        <v>128</v>
      </c>
      <c r="AC7"/>
    </row>
    <row r="8" spans="2:35" x14ac:dyDescent="0.3">
      <c r="B8" s="58" t="s">
        <v>118</v>
      </c>
      <c r="Q8" s="9" t="s">
        <v>38</v>
      </c>
      <c r="R8" s="9" t="s">
        <v>125</v>
      </c>
      <c r="S8" s="9" t="s">
        <v>126</v>
      </c>
      <c r="T8" s="9" t="s">
        <v>127</v>
      </c>
      <c r="U8" s="9" t="s">
        <v>129</v>
      </c>
      <c r="V8" s="9" t="s">
        <v>130</v>
      </c>
      <c r="W8" s="9" t="s">
        <v>131</v>
      </c>
      <c r="X8" s="9" t="s">
        <v>132</v>
      </c>
      <c r="Y8" s="9" t="s">
        <v>136</v>
      </c>
      <c r="Z8" s="9" t="s">
        <v>134</v>
      </c>
      <c r="AA8" s="9" t="s">
        <v>133</v>
      </c>
      <c r="AB8" s="9" t="s">
        <v>135</v>
      </c>
      <c r="AC8" s="9" t="s">
        <v>110</v>
      </c>
      <c r="AD8" s="9" t="s">
        <v>72</v>
      </c>
      <c r="AH8" s="9" t="s">
        <v>38</v>
      </c>
      <c r="AI8" s="9" t="s">
        <v>105</v>
      </c>
    </row>
    <row r="9" spans="2:35" ht="15" customHeight="1" x14ac:dyDescent="0.3">
      <c r="B9" s="8"/>
      <c r="Q9" s="10" t="s">
        <v>28</v>
      </c>
      <c r="R9" s="51">
        <f>E16</f>
        <v>12</v>
      </c>
      <c r="S9" s="65">
        <v>0</v>
      </c>
      <c r="T9" s="51">
        <f>R9</f>
        <v>12</v>
      </c>
      <c r="U9" s="66">
        <f>INT(T9*$G$27)</f>
        <v>6</v>
      </c>
      <c r="V9" s="50">
        <f>U9*$G$28</f>
        <v>12</v>
      </c>
      <c r="W9" s="67">
        <f>V9*$G$29</f>
        <v>840000</v>
      </c>
      <c r="X9" s="50">
        <f>W9*0.3</f>
        <v>252000</v>
      </c>
      <c r="Y9" s="53">
        <v>0</v>
      </c>
      <c r="Z9" s="53">
        <f>'Personal Earnings CALC'!X9</f>
        <v>37800</v>
      </c>
      <c r="AA9" s="50">
        <f>X9*0.3</f>
        <v>75600</v>
      </c>
      <c r="AB9" s="68">
        <v>0</v>
      </c>
      <c r="AC9" s="68">
        <v>0</v>
      </c>
      <c r="AD9" s="51">
        <f>SUM(Z9:AC9)</f>
        <v>113400</v>
      </c>
      <c r="AH9" s="54" t="s">
        <v>9</v>
      </c>
      <c r="AI9" s="55">
        <f>SUM(AD9:AD11)</f>
        <v>374040</v>
      </c>
    </row>
    <row r="10" spans="2:35" x14ac:dyDescent="0.3">
      <c r="B10" t="s">
        <v>119</v>
      </c>
      <c r="G10" s="48">
        <v>12</v>
      </c>
      <c r="Q10" s="10" t="s">
        <v>29</v>
      </c>
      <c r="R10" s="51">
        <f>R9+S9</f>
        <v>12</v>
      </c>
      <c r="S10" s="65">
        <v>0</v>
      </c>
      <c r="T10" s="51">
        <f t="shared" ref="T10:T20" si="0">R10</f>
        <v>12</v>
      </c>
      <c r="U10" s="66">
        <f t="shared" ref="U10:U44" si="1">INT(T10*$G$27)</f>
        <v>6</v>
      </c>
      <c r="V10" s="50">
        <f t="shared" ref="V10:V44" si="2">U10*$G$28</f>
        <v>12</v>
      </c>
      <c r="W10" s="67">
        <f t="shared" ref="W10:W44" si="3">V10*$G$29</f>
        <v>840000</v>
      </c>
      <c r="X10" s="50">
        <f t="shared" ref="X10:X44" si="4">W10*0.3</f>
        <v>252000</v>
      </c>
      <c r="Y10" s="53">
        <v>0</v>
      </c>
      <c r="Z10" s="53">
        <f>'Personal Earnings CALC'!X10</f>
        <v>37800</v>
      </c>
      <c r="AA10" s="50">
        <f>X10*0.32</f>
        <v>80640</v>
      </c>
      <c r="AB10" s="68">
        <v>0</v>
      </c>
      <c r="AC10" s="68">
        <v>0</v>
      </c>
      <c r="AD10" s="51">
        <f t="shared" ref="AD10:AD44" si="5">SUM(Z10:AC10)</f>
        <v>118440</v>
      </c>
      <c r="AH10" s="54" t="s">
        <v>10</v>
      </c>
      <c r="AI10" s="55">
        <f>SUM(AD9:AD14)</f>
        <v>768240</v>
      </c>
    </row>
    <row r="11" spans="2:35" x14ac:dyDescent="0.3">
      <c r="B11" t="s">
        <v>120</v>
      </c>
      <c r="G11" s="47">
        <v>2</v>
      </c>
      <c r="Q11" s="10" t="s">
        <v>9</v>
      </c>
      <c r="R11" s="51">
        <f>R10+S10</f>
        <v>12</v>
      </c>
      <c r="S11" s="65">
        <f>C20</f>
        <v>1</v>
      </c>
      <c r="T11" s="51">
        <f t="shared" si="0"/>
        <v>12</v>
      </c>
      <c r="U11" s="66">
        <f t="shared" si="1"/>
        <v>6</v>
      </c>
      <c r="V11" s="50">
        <f t="shared" si="2"/>
        <v>12</v>
      </c>
      <c r="W11" s="67">
        <f t="shared" si="3"/>
        <v>840000</v>
      </c>
      <c r="X11" s="50">
        <f t="shared" si="4"/>
        <v>252000</v>
      </c>
      <c r="Y11" s="53">
        <v>0</v>
      </c>
      <c r="Z11" s="53">
        <f>'Personal Earnings CALC'!X11</f>
        <v>37800</v>
      </c>
      <c r="AA11" s="50">
        <f>X11*0.35</f>
        <v>88200</v>
      </c>
      <c r="AB11" s="68">
        <v>0</v>
      </c>
      <c r="AC11" s="68">
        <f>IF(AND(AVERAGE(U9:U11)&gt;=5,SUM(W9:W11,SUM('Personal Earnings CALC'!P9:P11)*0.5)&gt;=1200000),VLOOKUP(SUM(W9:W11,SUM('Personal Earnings CALC'!P9:P11)*0.5),REF!$G$25:$H$30,2,1))*SUM(X9:X11,SUM('Personal Earnings CALC'!Q9:Q11)*0.5)</f>
        <v>16200</v>
      </c>
      <c r="AD11" s="51">
        <f t="shared" si="5"/>
        <v>142200</v>
      </c>
      <c r="AH11" s="54" t="s">
        <v>37</v>
      </c>
      <c r="AI11" s="55">
        <f>SUM(AD9:AD20)</f>
        <v>1716480</v>
      </c>
    </row>
    <row r="12" spans="2:35" x14ac:dyDescent="0.3">
      <c r="B12" t="s">
        <v>121</v>
      </c>
      <c r="G12" s="48">
        <v>60000</v>
      </c>
      <c r="Q12" s="10" t="s">
        <v>30</v>
      </c>
      <c r="R12" s="51">
        <f t="shared" ref="R12:R43" si="6">R11+S11</f>
        <v>13</v>
      </c>
      <c r="S12" s="65">
        <v>0</v>
      </c>
      <c r="T12" s="51">
        <f t="shared" si="0"/>
        <v>13</v>
      </c>
      <c r="U12" s="66">
        <f t="shared" si="1"/>
        <v>6</v>
      </c>
      <c r="V12" s="50">
        <f t="shared" si="2"/>
        <v>12</v>
      </c>
      <c r="W12" s="67">
        <f t="shared" si="3"/>
        <v>840000</v>
      </c>
      <c r="X12" s="50">
        <f t="shared" si="4"/>
        <v>252000</v>
      </c>
      <c r="Y12" s="53">
        <v>0</v>
      </c>
      <c r="Z12" s="53">
        <f>'Personal Earnings CALC'!X12</f>
        <v>37800</v>
      </c>
      <c r="AA12" s="50">
        <f t="shared" ref="AA12:AA44" si="7">X12*0.35</f>
        <v>88200</v>
      </c>
      <c r="AB12" s="68">
        <v>0</v>
      </c>
      <c r="AC12" s="68">
        <v>0</v>
      </c>
      <c r="AD12" s="51">
        <f t="shared" si="5"/>
        <v>126000</v>
      </c>
      <c r="AH12" s="54" t="s">
        <v>44</v>
      </c>
      <c r="AI12" s="55">
        <f>SUM(AD9:AD26)</f>
        <v>3363420</v>
      </c>
    </row>
    <row r="13" spans="2:35" x14ac:dyDescent="0.3">
      <c r="Q13" s="10" t="s">
        <v>31</v>
      </c>
      <c r="R13" s="51">
        <f t="shared" si="6"/>
        <v>13</v>
      </c>
      <c r="S13" s="65">
        <v>0</v>
      </c>
      <c r="T13" s="51">
        <f t="shared" si="0"/>
        <v>13</v>
      </c>
      <c r="U13" s="66">
        <f t="shared" si="1"/>
        <v>6</v>
      </c>
      <c r="V13" s="50">
        <f t="shared" si="2"/>
        <v>12</v>
      </c>
      <c r="W13" s="67">
        <f t="shared" si="3"/>
        <v>840000</v>
      </c>
      <c r="X13" s="50">
        <f t="shared" si="4"/>
        <v>252000</v>
      </c>
      <c r="Y13" s="53">
        <v>0</v>
      </c>
      <c r="Z13" s="53">
        <f>'Personal Earnings CALC'!X13</f>
        <v>37800</v>
      </c>
      <c r="AA13" s="50">
        <f t="shared" si="7"/>
        <v>88200</v>
      </c>
      <c r="AB13" s="68">
        <v>0</v>
      </c>
      <c r="AC13" s="68">
        <v>0</v>
      </c>
      <c r="AD13" s="51">
        <f t="shared" si="5"/>
        <v>126000</v>
      </c>
      <c r="AH13" s="54" t="s">
        <v>50</v>
      </c>
      <c r="AI13" s="55">
        <f>SUM(AD9:AD32)</f>
        <v>5298600</v>
      </c>
    </row>
    <row r="14" spans="2:35" x14ac:dyDescent="0.3">
      <c r="B14" s="58" t="s">
        <v>122</v>
      </c>
      <c r="Q14" s="10" t="s">
        <v>10</v>
      </c>
      <c r="R14" s="51">
        <f t="shared" si="6"/>
        <v>13</v>
      </c>
      <c r="S14" s="65">
        <f>C21</f>
        <v>1</v>
      </c>
      <c r="T14" s="51">
        <f t="shared" si="0"/>
        <v>13</v>
      </c>
      <c r="U14" s="66">
        <f t="shared" si="1"/>
        <v>6</v>
      </c>
      <c r="V14" s="50">
        <f t="shared" si="2"/>
        <v>12</v>
      </c>
      <c r="W14" s="67">
        <f t="shared" si="3"/>
        <v>840000</v>
      </c>
      <c r="X14" s="50">
        <f t="shared" si="4"/>
        <v>252000</v>
      </c>
      <c r="Y14" s="53">
        <v>0</v>
      </c>
      <c r="Z14" s="53">
        <f>'Personal Earnings CALC'!X14</f>
        <v>37800</v>
      </c>
      <c r="AA14" s="50">
        <f t="shared" si="7"/>
        <v>88200</v>
      </c>
      <c r="AB14" s="68">
        <v>0</v>
      </c>
      <c r="AC14" s="68">
        <f>IF(AND(AVERAGE(U12:U14)&gt;=5,SUM(W12:W14,SUM('Personal Earnings CALC'!P12:P14)*0.5)&gt;=1200000),VLOOKUP(SUM(W12:W14,SUM('Personal Earnings CALC'!P12:P14)*0.5),REF!$G$25:$H$30,2,1))*SUM(X12:X14,SUM('Personal Earnings CALC'!Q12:Q14)*0.5)</f>
        <v>16200</v>
      </c>
      <c r="AD14" s="51">
        <f t="shared" si="5"/>
        <v>142200</v>
      </c>
      <c r="AH14" s="54" t="s">
        <v>62</v>
      </c>
      <c r="AI14" s="55">
        <f>AD45</f>
        <v>10080860</v>
      </c>
    </row>
    <row r="15" spans="2:35" ht="15" customHeight="1" x14ac:dyDescent="0.3">
      <c r="Q15" s="10" t="s">
        <v>32</v>
      </c>
      <c r="R15" s="51">
        <f t="shared" si="6"/>
        <v>14</v>
      </c>
      <c r="S15" s="65">
        <v>0</v>
      </c>
      <c r="T15" s="51">
        <f t="shared" si="0"/>
        <v>14</v>
      </c>
      <c r="U15" s="66">
        <f t="shared" si="1"/>
        <v>7</v>
      </c>
      <c r="V15" s="50">
        <f t="shared" si="2"/>
        <v>14</v>
      </c>
      <c r="W15" s="67">
        <f t="shared" si="3"/>
        <v>980000</v>
      </c>
      <c r="X15" s="50">
        <f t="shared" si="4"/>
        <v>294000</v>
      </c>
      <c r="Y15" s="53">
        <v>0</v>
      </c>
      <c r="Z15" s="53">
        <f>'Personal Earnings CALC'!X15</f>
        <v>37800</v>
      </c>
      <c r="AA15" s="50">
        <f t="shared" si="7"/>
        <v>102900</v>
      </c>
      <c r="AB15" s="68">
        <v>0</v>
      </c>
      <c r="AC15" s="68">
        <v>0</v>
      </c>
      <c r="AD15" s="51">
        <f t="shared" si="5"/>
        <v>140700</v>
      </c>
    </row>
    <row r="16" spans="2:35" x14ac:dyDescent="0.3">
      <c r="B16" t="s">
        <v>117</v>
      </c>
      <c r="E16" s="48">
        <v>12</v>
      </c>
      <c r="Q16" s="10" t="s">
        <v>33</v>
      </c>
      <c r="R16" s="51">
        <f t="shared" si="6"/>
        <v>14</v>
      </c>
      <c r="S16" s="65">
        <v>0</v>
      </c>
      <c r="T16" s="51">
        <f t="shared" si="0"/>
        <v>14</v>
      </c>
      <c r="U16" s="66">
        <f t="shared" si="1"/>
        <v>7</v>
      </c>
      <c r="V16" s="50">
        <f t="shared" si="2"/>
        <v>14</v>
      </c>
      <c r="W16" s="67">
        <f t="shared" si="3"/>
        <v>980000</v>
      </c>
      <c r="X16" s="50">
        <f t="shared" si="4"/>
        <v>294000</v>
      </c>
      <c r="Y16" s="53">
        <v>0</v>
      </c>
      <c r="Z16" s="53">
        <f>'Personal Earnings CALC'!X16</f>
        <v>37800</v>
      </c>
      <c r="AA16" s="50">
        <f t="shared" si="7"/>
        <v>102900</v>
      </c>
      <c r="AB16" s="68">
        <v>0</v>
      </c>
      <c r="AC16" s="68">
        <v>0</v>
      </c>
      <c r="AD16" s="51">
        <f t="shared" si="5"/>
        <v>140700</v>
      </c>
    </row>
    <row r="17" spans="2:33" x14ac:dyDescent="0.3">
      <c r="Q17" s="10" t="s">
        <v>34</v>
      </c>
      <c r="R17" s="51">
        <f t="shared" si="6"/>
        <v>14</v>
      </c>
      <c r="S17" s="65">
        <f>C22</f>
        <v>2</v>
      </c>
      <c r="T17" s="51">
        <f t="shared" si="0"/>
        <v>14</v>
      </c>
      <c r="U17" s="66">
        <f t="shared" si="1"/>
        <v>7</v>
      </c>
      <c r="V17" s="50">
        <f t="shared" si="2"/>
        <v>14</v>
      </c>
      <c r="W17" s="67">
        <f t="shared" si="3"/>
        <v>980000</v>
      </c>
      <c r="X17" s="50">
        <f t="shared" si="4"/>
        <v>294000</v>
      </c>
      <c r="Y17" s="53">
        <v>0</v>
      </c>
      <c r="Z17" s="53">
        <f>'Personal Earnings CALC'!X17</f>
        <v>37800</v>
      </c>
      <c r="AA17" s="50">
        <f t="shared" si="7"/>
        <v>102900</v>
      </c>
      <c r="AB17" s="68">
        <v>0</v>
      </c>
      <c r="AC17" s="68">
        <f>IF(AND(AVERAGE(U15:U17)&gt;=5,SUM(W15:W17,SUM('Personal Earnings CALC'!P15:P17)*0.5)&gt;=1200000),VLOOKUP(SUM(W15:W17,SUM('Personal Earnings CALC'!P15:P17)*0.5),REF!$G$25:$H$30,2,1))*SUM(X15:X17,SUM('Personal Earnings CALC'!Q15:Q17)*0.5)</f>
        <v>28080</v>
      </c>
      <c r="AD17" s="51">
        <f t="shared" si="5"/>
        <v>168780</v>
      </c>
    </row>
    <row r="18" spans="2:33" x14ac:dyDescent="0.3">
      <c r="B18" t="s">
        <v>137</v>
      </c>
      <c r="Q18" s="10" t="s">
        <v>35</v>
      </c>
      <c r="R18" s="51">
        <f t="shared" si="6"/>
        <v>16</v>
      </c>
      <c r="S18" s="65">
        <v>0</v>
      </c>
      <c r="T18" s="51">
        <f t="shared" si="0"/>
        <v>16</v>
      </c>
      <c r="U18" s="66">
        <f t="shared" si="1"/>
        <v>8</v>
      </c>
      <c r="V18" s="50">
        <f t="shared" si="2"/>
        <v>16</v>
      </c>
      <c r="W18" s="67">
        <f t="shared" si="3"/>
        <v>1120000</v>
      </c>
      <c r="X18" s="50">
        <f t="shared" si="4"/>
        <v>336000</v>
      </c>
      <c r="Y18" s="53">
        <v>0</v>
      </c>
      <c r="Z18" s="53">
        <f>'Personal Earnings CALC'!X18</f>
        <v>37800</v>
      </c>
      <c r="AA18" s="50">
        <f t="shared" si="7"/>
        <v>117599.99999999999</v>
      </c>
      <c r="AB18" s="68">
        <v>0</v>
      </c>
      <c r="AC18" s="68">
        <v>0</v>
      </c>
      <c r="AD18" s="51">
        <f t="shared" si="5"/>
        <v>155400</v>
      </c>
    </row>
    <row r="19" spans="2:33" x14ac:dyDescent="0.3">
      <c r="Q19" s="10" t="s">
        <v>36</v>
      </c>
      <c r="R19" s="51">
        <f t="shared" si="6"/>
        <v>16</v>
      </c>
      <c r="S19" s="65">
        <v>0</v>
      </c>
      <c r="T19" s="51">
        <f t="shared" si="0"/>
        <v>16</v>
      </c>
      <c r="U19" s="66">
        <f t="shared" si="1"/>
        <v>8</v>
      </c>
      <c r="V19" s="50">
        <f t="shared" si="2"/>
        <v>16</v>
      </c>
      <c r="W19" s="67">
        <f t="shared" si="3"/>
        <v>1120000</v>
      </c>
      <c r="X19" s="50">
        <f t="shared" si="4"/>
        <v>336000</v>
      </c>
      <c r="Y19" s="53">
        <v>0</v>
      </c>
      <c r="Z19" s="53">
        <f>'Personal Earnings CALC'!X19</f>
        <v>37800</v>
      </c>
      <c r="AA19" s="50">
        <f t="shared" si="7"/>
        <v>117599.99999999999</v>
      </c>
      <c r="AB19" s="68">
        <v>0</v>
      </c>
      <c r="AC19" s="68">
        <v>0</v>
      </c>
      <c r="AD19" s="51">
        <f t="shared" si="5"/>
        <v>155400</v>
      </c>
    </row>
    <row r="20" spans="2:33" x14ac:dyDescent="0.3">
      <c r="B20" t="s">
        <v>11</v>
      </c>
      <c r="C20" s="49">
        <v>1</v>
      </c>
      <c r="D20" t="s">
        <v>15</v>
      </c>
      <c r="E20" s="49">
        <v>2</v>
      </c>
      <c r="F20" t="s">
        <v>19</v>
      </c>
      <c r="G20" s="49">
        <v>3</v>
      </c>
      <c r="Q20" s="10" t="s">
        <v>37</v>
      </c>
      <c r="R20" s="51">
        <f t="shared" si="6"/>
        <v>16</v>
      </c>
      <c r="S20" s="65">
        <f>C23</f>
        <v>2</v>
      </c>
      <c r="T20" s="51">
        <f t="shared" si="0"/>
        <v>16</v>
      </c>
      <c r="U20" s="66">
        <f t="shared" si="1"/>
        <v>8</v>
      </c>
      <c r="V20" s="50">
        <f t="shared" si="2"/>
        <v>16</v>
      </c>
      <c r="W20" s="67">
        <f t="shared" si="3"/>
        <v>1120000</v>
      </c>
      <c r="X20" s="50">
        <f t="shared" si="4"/>
        <v>336000</v>
      </c>
      <c r="Y20" s="53">
        <v>0</v>
      </c>
      <c r="Z20" s="53">
        <f>'Personal Earnings CALC'!X20</f>
        <v>37800</v>
      </c>
      <c r="AA20" s="50">
        <f t="shared" si="7"/>
        <v>117599.99999999999</v>
      </c>
      <c r="AB20" s="68">
        <v>0</v>
      </c>
      <c r="AC20" s="68">
        <f>IF(AND(AVERAGE(U18:U20)&gt;=5,SUM(W18:W20,SUM('Personal Earnings CALC'!P18:P20)*0.5)&gt;=1200000),VLOOKUP(SUM(W18:W20,SUM('Personal Earnings CALC'!P18:P20)*0.5),REF!$G$25:$H$30,2,1))*SUM(X18:X20,SUM('Personal Earnings CALC'!Q18:Q20)*0.5)</f>
        <v>31860</v>
      </c>
      <c r="AD20" s="51">
        <f t="shared" si="5"/>
        <v>187260</v>
      </c>
      <c r="AF20" s="73">
        <f>SUM(W9:W20)</f>
        <v>11340000</v>
      </c>
      <c r="AG20" s="74">
        <f>VLOOKUP(AF20,REF!$U$10:$V$12,2,1)</f>
        <v>0.25</v>
      </c>
    </row>
    <row r="21" spans="2:33" x14ac:dyDescent="0.3">
      <c r="B21" t="s">
        <v>12</v>
      </c>
      <c r="C21" s="49">
        <v>1</v>
      </c>
      <c r="D21" t="s">
        <v>16</v>
      </c>
      <c r="E21" s="49">
        <v>2</v>
      </c>
      <c r="F21" t="s">
        <v>20</v>
      </c>
      <c r="G21" s="49">
        <v>3</v>
      </c>
      <c r="Q21" s="10" t="s">
        <v>39</v>
      </c>
      <c r="R21" s="51">
        <f t="shared" si="6"/>
        <v>18</v>
      </c>
      <c r="S21" s="65">
        <v>0</v>
      </c>
      <c r="T21" s="53">
        <f>INT(R21*0.9)</f>
        <v>16</v>
      </c>
      <c r="U21" s="66">
        <f t="shared" si="1"/>
        <v>8</v>
      </c>
      <c r="V21" s="50">
        <f t="shared" si="2"/>
        <v>16</v>
      </c>
      <c r="W21" s="67">
        <f t="shared" si="3"/>
        <v>1120000</v>
      </c>
      <c r="X21" s="50">
        <f t="shared" si="4"/>
        <v>336000</v>
      </c>
      <c r="Y21" s="50">
        <f>W9*0.2</f>
        <v>168000</v>
      </c>
      <c r="Z21" s="53">
        <f>'Personal Earnings CALC'!X21</f>
        <v>67560</v>
      </c>
      <c r="AA21" s="50">
        <f t="shared" si="7"/>
        <v>117599.99999999999</v>
      </c>
      <c r="AB21" s="68">
        <v>0</v>
      </c>
      <c r="AC21" s="68">
        <v>0</v>
      </c>
      <c r="AD21" s="51">
        <f t="shared" si="5"/>
        <v>185160</v>
      </c>
    </row>
    <row r="22" spans="2:33" x14ac:dyDescent="0.3">
      <c r="B22" t="s">
        <v>13</v>
      </c>
      <c r="C22" s="49">
        <v>2</v>
      </c>
      <c r="D22" t="s">
        <v>17</v>
      </c>
      <c r="E22" s="49">
        <v>2</v>
      </c>
      <c r="F22" t="s">
        <v>21</v>
      </c>
      <c r="G22" s="49">
        <v>3</v>
      </c>
      <c r="Q22" s="10" t="s">
        <v>40</v>
      </c>
      <c r="R22" s="51">
        <f t="shared" si="6"/>
        <v>18</v>
      </c>
      <c r="S22" s="65">
        <v>0</v>
      </c>
      <c r="T22" s="51">
        <f>T21+S22</f>
        <v>16</v>
      </c>
      <c r="U22" s="66">
        <f t="shared" si="1"/>
        <v>8</v>
      </c>
      <c r="V22" s="50">
        <f t="shared" si="2"/>
        <v>16</v>
      </c>
      <c r="W22" s="67">
        <f t="shared" si="3"/>
        <v>1120000</v>
      </c>
      <c r="X22" s="50">
        <f t="shared" si="4"/>
        <v>336000</v>
      </c>
      <c r="Y22" s="50">
        <f t="shared" ref="Y22:Y32" si="8">W10*0.2</f>
        <v>168000</v>
      </c>
      <c r="Z22" s="53">
        <f>'Personal Earnings CALC'!X22</f>
        <v>67560</v>
      </c>
      <c r="AA22" s="50">
        <f t="shared" si="7"/>
        <v>117599.99999999999</v>
      </c>
      <c r="AB22" s="68">
        <v>0</v>
      </c>
      <c r="AC22" s="68">
        <v>0</v>
      </c>
      <c r="AD22" s="51">
        <f t="shared" si="5"/>
        <v>185160</v>
      </c>
    </row>
    <row r="23" spans="2:33" x14ac:dyDescent="0.3">
      <c r="B23" t="s">
        <v>14</v>
      </c>
      <c r="C23" s="49">
        <v>2</v>
      </c>
      <c r="D23" t="s">
        <v>18</v>
      </c>
      <c r="E23" s="49">
        <v>2</v>
      </c>
      <c r="F23" t="s">
        <v>22</v>
      </c>
      <c r="G23" s="49">
        <v>3</v>
      </c>
      <c r="Q23" s="10" t="s">
        <v>41</v>
      </c>
      <c r="R23" s="51">
        <f t="shared" si="6"/>
        <v>18</v>
      </c>
      <c r="S23" s="65">
        <f>E20</f>
        <v>2</v>
      </c>
      <c r="T23" s="51">
        <f t="shared" ref="T23:T32" si="9">T22+S23</f>
        <v>18</v>
      </c>
      <c r="U23" s="66">
        <f t="shared" si="1"/>
        <v>9</v>
      </c>
      <c r="V23" s="50">
        <f t="shared" si="2"/>
        <v>18</v>
      </c>
      <c r="W23" s="67">
        <f t="shared" si="3"/>
        <v>1260000</v>
      </c>
      <c r="X23" s="50">
        <f t="shared" si="4"/>
        <v>378000</v>
      </c>
      <c r="Y23" s="50">
        <f t="shared" si="8"/>
        <v>168000</v>
      </c>
      <c r="Z23" s="53">
        <f>'Personal Earnings CALC'!X23</f>
        <v>96360</v>
      </c>
      <c r="AA23" s="50">
        <f t="shared" si="7"/>
        <v>132300</v>
      </c>
      <c r="AB23" s="68">
        <f>SUM(Y21:Y23)*0.32</f>
        <v>161280</v>
      </c>
      <c r="AC23" s="68">
        <f>IF(AND(AVERAGE(U21:U23)&gt;=5,SUM(W21:W23,SUM('Personal Earnings CALC'!P21:P23)*0.5)&gt;=1200000),VLOOKUP(SUM(W21:W23,SUM('Personal Earnings CALC'!P21:P23)*0.5),REF!$G$25:$H$30,2,1))*SUM(X21:X23,SUM('Personal Earnings CALC'!Q21:Q23)*0.5)</f>
        <v>33120</v>
      </c>
      <c r="AD23" s="51">
        <f t="shared" si="5"/>
        <v>423060</v>
      </c>
    </row>
    <row r="24" spans="2:33" x14ac:dyDescent="0.3">
      <c r="Q24" s="10" t="s">
        <v>42</v>
      </c>
      <c r="R24" s="51">
        <f t="shared" si="6"/>
        <v>20</v>
      </c>
      <c r="S24" s="65">
        <v>0</v>
      </c>
      <c r="T24" s="51">
        <f t="shared" si="9"/>
        <v>18</v>
      </c>
      <c r="U24" s="66">
        <f t="shared" si="1"/>
        <v>9</v>
      </c>
      <c r="V24" s="50">
        <f t="shared" si="2"/>
        <v>18</v>
      </c>
      <c r="W24" s="67">
        <f t="shared" si="3"/>
        <v>1260000</v>
      </c>
      <c r="X24" s="50">
        <f t="shared" si="4"/>
        <v>378000</v>
      </c>
      <c r="Y24" s="50">
        <f t="shared" si="8"/>
        <v>168000</v>
      </c>
      <c r="Z24" s="53">
        <f>'Personal Earnings CALC'!X24</f>
        <v>67560</v>
      </c>
      <c r="AA24" s="50">
        <f t="shared" si="7"/>
        <v>132300</v>
      </c>
      <c r="AB24" s="68">
        <v>0</v>
      </c>
      <c r="AC24" s="68">
        <v>0</v>
      </c>
      <c r="AD24" s="51">
        <f t="shared" si="5"/>
        <v>199860</v>
      </c>
    </row>
    <row r="25" spans="2:33" x14ac:dyDescent="0.3">
      <c r="B25" s="59" t="s">
        <v>138</v>
      </c>
      <c r="Q25" s="10" t="s">
        <v>43</v>
      </c>
      <c r="R25" s="51">
        <f t="shared" si="6"/>
        <v>20</v>
      </c>
      <c r="S25" s="65">
        <v>0</v>
      </c>
      <c r="T25" s="51">
        <f t="shared" si="9"/>
        <v>18</v>
      </c>
      <c r="U25" s="66">
        <f t="shared" si="1"/>
        <v>9</v>
      </c>
      <c r="V25" s="50">
        <f t="shared" si="2"/>
        <v>18</v>
      </c>
      <c r="W25" s="67">
        <f t="shared" si="3"/>
        <v>1260000</v>
      </c>
      <c r="X25" s="50">
        <f t="shared" si="4"/>
        <v>378000</v>
      </c>
      <c r="Y25" s="50">
        <f t="shared" si="8"/>
        <v>168000</v>
      </c>
      <c r="Z25" s="53">
        <f>'Personal Earnings CALC'!X25</f>
        <v>67560</v>
      </c>
      <c r="AA25" s="50">
        <f t="shared" si="7"/>
        <v>132300</v>
      </c>
      <c r="AB25" s="68">
        <v>0</v>
      </c>
      <c r="AC25" s="68">
        <v>0</v>
      </c>
      <c r="AD25" s="51">
        <f t="shared" si="5"/>
        <v>199860</v>
      </c>
    </row>
    <row r="26" spans="2:33" x14ac:dyDescent="0.3">
      <c r="Q26" s="10" t="s">
        <v>44</v>
      </c>
      <c r="R26" s="51">
        <f t="shared" si="6"/>
        <v>20</v>
      </c>
      <c r="S26" s="65">
        <f>E21</f>
        <v>2</v>
      </c>
      <c r="T26" s="51">
        <f t="shared" si="9"/>
        <v>20</v>
      </c>
      <c r="U26" s="66">
        <f t="shared" si="1"/>
        <v>10</v>
      </c>
      <c r="V26" s="50">
        <f t="shared" si="2"/>
        <v>20</v>
      </c>
      <c r="W26" s="67">
        <f t="shared" si="3"/>
        <v>1400000</v>
      </c>
      <c r="X26" s="50">
        <f t="shared" si="4"/>
        <v>420000</v>
      </c>
      <c r="Y26" s="50">
        <f t="shared" si="8"/>
        <v>168000</v>
      </c>
      <c r="Z26" s="53">
        <f>'Personal Earnings CALC'!X26</f>
        <v>96360</v>
      </c>
      <c r="AA26" s="50">
        <f t="shared" si="7"/>
        <v>147000</v>
      </c>
      <c r="AB26" s="68">
        <f>SUM(Y24:Y26)*0.32</f>
        <v>161280</v>
      </c>
      <c r="AC26" s="68">
        <f>IF(AND(AVERAGE(U24:U26)&gt;=5,SUM(W24:W26,SUM('Personal Earnings CALC'!P24:P26)*0.5)&gt;=1200000),VLOOKUP(SUM(W24:W26,SUM('Personal Earnings CALC'!P24:P26)*0.5),REF!$G$25:$H$30,2,1))*SUM(X24:X26,SUM('Personal Earnings CALC'!Q24:Q26)*0.5)</f>
        <v>49200</v>
      </c>
      <c r="AD26" s="51">
        <f t="shared" si="5"/>
        <v>453840</v>
      </c>
    </row>
    <row r="27" spans="2:33" x14ac:dyDescent="0.3">
      <c r="B27" t="s">
        <v>123</v>
      </c>
      <c r="G27" s="60">
        <v>0.5</v>
      </c>
      <c r="Q27" s="10" t="s">
        <v>45</v>
      </c>
      <c r="R27" s="51">
        <f t="shared" si="6"/>
        <v>22</v>
      </c>
      <c r="S27" s="65">
        <v>0</v>
      </c>
      <c r="T27" s="51">
        <f t="shared" si="9"/>
        <v>20</v>
      </c>
      <c r="U27" s="66">
        <f t="shared" si="1"/>
        <v>10</v>
      </c>
      <c r="V27" s="50">
        <f t="shared" si="2"/>
        <v>20</v>
      </c>
      <c r="W27" s="67">
        <f t="shared" si="3"/>
        <v>1400000</v>
      </c>
      <c r="X27" s="50">
        <f t="shared" si="4"/>
        <v>420000</v>
      </c>
      <c r="Y27" s="50">
        <f t="shared" si="8"/>
        <v>196000</v>
      </c>
      <c r="Z27" s="53">
        <f>'Personal Earnings CALC'!X27</f>
        <v>67560</v>
      </c>
      <c r="AA27" s="50">
        <f t="shared" si="7"/>
        <v>147000</v>
      </c>
      <c r="AB27" s="68">
        <v>0</v>
      </c>
      <c r="AC27" s="68">
        <v>0</v>
      </c>
      <c r="AD27" s="51">
        <f t="shared" si="5"/>
        <v>214560</v>
      </c>
    </row>
    <row r="28" spans="2:33" x14ac:dyDescent="0.3">
      <c r="B28" t="s">
        <v>124</v>
      </c>
      <c r="G28" s="47">
        <v>2</v>
      </c>
      <c r="Q28" s="10" t="s">
        <v>46</v>
      </c>
      <c r="R28" s="51">
        <f t="shared" si="6"/>
        <v>22</v>
      </c>
      <c r="S28" s="65">
        <v>0</v>
      </c>
      <c r="T28" s="51">
        <f t="shared" si="9"/>
        <v>20</v>
      </c>
      <c r="U28" s="66">
        <f t="shared" si="1"/>
        <v>10</v>
      </c>
      <c r="V28" s="50">
        <f t="shared" si="2"/>
        <v>20</v>
      </c>
      <c r="W28" s="67">
        <f t="shared" si="3"/>
        <v>1400000</v>
      </c>
      <c r="X28" s="50">
        <f t="shared" si="4"/>
        <v>420000</v>
      </c>
      <c r="Y28" s="50">
        <f t="shared" si="8"/>
        <v>196000</v>
      </c>
      <c r="Z28" s="53">
        <f>'Personal Earnings CALC'!X28</f>
        <v>67560</v>
      </c>
      <c r="AA28" s="50">
        <f t="shared" si="7"/>
        <v>147000</v>
      </c>
      <c r="AB28" s="68">
        <v>0</v>
      </c>
      <c r="AC28" s="68">
        <v>0</v>
      </c>
      <c r="AD28" s="51">
        <f t="shared" si="5"/>
        <v>214560</v>
      </c>
    </row>
    <row r="29" spans="2:33" x14ac:dyDescent="0.3">
      <c r="B29" t="s">
        <v>121</v>
      </c>
      <c r="G29" s="48">
        <v>70000</v>
      </c>
      <c r="Q29" s="10" t="s">
        <v>47</v>
      </c>
      <c r="R29" s="51">
        <f t="shared" si="6"/>
        <v>22</v>
      </c>
      <c r="S29" s="65">
        <f>E22</f>
        <v>2</v>
      </c>
      <c r="T29" s="51">
        <f t="shared" si="9"/>
        <v>22</v>
      </c>
      <c r="U29" s="66">
        <f t="shared" si="1"/>
        <v>11</v>
      </c>
      <c r="V29" s="50">
        <f t="shared" si="2"/>
        <v>22</v>
      </c>
      <c r="W29" s="67">
        <f t="shared" si="3"/>
        <v>1540000</v>
      </c>
      <c r="X29" s="50">
        <f t="shared" si="4"/>
        <v>462000</v>
      </c>
      <c r="Y29" s="50">
        <f t="shared" si="8"/>
        <v>196000</v>
      </c>
      <c r="Z29" s="53">
        <f>'Personal Earnings CALC'!X29</f>
        <v>96360</v>
      </c>
      <c r="AA29" s="50">
        <f t="shared" si="7"/>
        <v>161700</v>
      </c>
      <c r="AB29" s="68">
        <f>SUM(Y27:Y29)*0.32</f>
        <v>188160</v>
      </c>
      <c r="AC29" s="68">
        <f>IF(AND(AVERAGE(U27:U29)&gt;=5,SUM(W27:W29,SUM('Personal Earnings CALC'!P27:P29)*0.5)&gt;=1200000),VLOOKUP(SUM(W27:W29,SUM('Personal Earnings CALC'!P27:P29)*0.5),REF!$G$25:$H$30,2,1))*SUM(X27:X29,SUM('Personal Earnings CALC'!Q27:Q29)*0.5)</f>
        <v>54240</v>
      </c>
      <c r="AD29" s="51">
        <f t="shared" si="5"/>
        <v>500460</v>
      </c>
    </row>
    <row r="30" spans="2:33" ht="15" customHeight="1" x14ac:dyDescent="0.3">
      <c r="Q30" s="10" t="s">
        <v>48</v>
      </c>
      <c r="R30" s="51">
        <f t="shared" si="6"/>
        <v>24</v>
      </c>
      <c r="S30" s="65">
        <v>0</v>
      </c>
      <c r="T30" s="51">
        <f t="shared" si="9"/>
        <v>22</v>
      </c>
      <c r="U30" s="66">
        <f t="shared" si="1"/>
        <v>11</v>
      </c>
      <c r="V30" s="50">
        <f t="shared" si="2"/>
        <v>22</v>
      </c>
      <c r="W30" s="67">
        <f t="shared" si="3"/>
        <v>1540000</v>
      </c>
      <c r="X30" s="50">
        <f t="shared" si="4"/>
        <v>462000</v>
      </c>
      <c r="Y30" s="50">
        <f t="shared" si="8"/>
        <v>224000</v>
      </c>
      <c r="Z30" s="53">
        <f>'Personal Earnings CALC'!X30</f>
        <v>67560</v>
      </c>
      <c r="AA30" s="50">
        <f t="shared" si="7"/>
        <v>161700</v>
      </c>
      <c r="AB30" s="68">
        <v>0</v>
      </c>
      <c r="AC30" s="68">
        <v>0</v>
      </c>
      <c r="AD30" s="51">
        <f t="shared" si="5"/>
        <v>229260</v>
      </c>
    </row>
    <row r="31" spans="2:33" x14ac:dyDescent="0.3">
      <c r="B31" s="8" t="s">
        <v>94</v>
      </c>
      <c r="Q31" s="10" t="s">
        <v>49</v>
      </c>
      <c r="R31" s="51">
        <f t="shared" si="6"/>
        <v>24</v>
      </c>
      <c r="S31" s="65">
        <v>0</v>
      </c>
      <c r="T31" s="51">
        <f t="shared" si="9"/>
        <v>22</v>
      </c>
      <c r="U31" s="66">
        <f t="shared" si="1"/>
        <v>11</v>
      </c>
      <c r="V31" s="50">
        <f t="shared" si="2"/>
        <v>22</v>
      </c>
      <c r="W31" s="67">
        <f t="shared" si="3"/>
        <v>1540000</v>
      </c>
      <c r="X31" s="50">
        <f t="shared" si="4"/>
        <v>462000</v>
      </c>
      <c r="Y31" s="50">
        <f t="shared" si="8"/>
        <v>224000</v>
      </c>
      <c r="Z31" s="53">
        <f>'Personal Earnings CALC'!X31</f>
        <v>67560</v>
      </c>
      <c r="AA31" s="50">
        <f t="shared" si="7"/>
        <v>161700</v>
      </c>
      <c r="AB31" s="68">
        <v>0</v>
      </c>
      <c r="AC31" s="68">
        <v>0</v>
      </c>
      <c r="AD31" s="51">
        <f t="shared" si="5"/>
        <v>229260</v>
      </c>
    </row>
    <row r="32" spans="2:33" x14ac:dyDescent="0.3">
      <c r="B32" s="8" t="s">
        <v>64</v>
      </c>
      <c r="Q32" s="10" t="s">
        <v>50</v>
      </c>
      <c r="R32" s="51">
        <f t="shared" si="6"/>
        <v>24</v>
      </c>
      <c r="S32" s="65">
        <f>E23</f>
        <v>2</v>
      </c>
      <c r="T32" s="51">
        <f t="shared" si="9"/>
        <v>24</v>
      </c>
      <c r="U32" s="66">
        <f t="shared" si="1"/>
        <v>12</v>
      </c>
      <c r="V32" s="50">
        <f t="shared" si="2"/>
        <v>24</v>
      </c>
      <c r="W32" s="67">
        <f t="shared" si="3"/>
        <v>1680000</v>
      </c>
      <c r="X32" s="50">
        <f t="shared" si="4"/>
        <v>504000</v>
      </c>
      <c r="Y32" s="50">
        <f t="shared" si="8"/>
        <v>224000</v>
      </c>
      <c r="Z32" s="53">
        <f>'Personal Earnings CALC'!X32</f>
        <v>96360</v>
      </c>
      <c r="AA32" s="50">
        <f t="shared" si="7"/>
        <v>176400</v>
      </c>
      <c r="AB32" s="68">
        <f>SUM(Y30:Y32)*0.32</f>
        <v>215040</v>
      </c>
      <c r="AC32" s="68">
        <f>IF(AND(AVERAGE(U30:U32)&gt;=5,SUM(W30:W32,SUM('Personal Earnings CALC'!P30:P32)*0.5)&gt;=1200000),VLOOKUP(SUM(W30:W32,SUM('Personal Earnings CALC'!P30:P32)*0.5),REF!$G$25:$H$30,2,1))*SUM(X30:X32,SUM('Personal Earnings CALC'!Q30:Q32)*0.5)</f>
        <v>59280</v>
      </c>
      <c r="AD32" s="51">
        <f t="shared" si="5"/>
        <v>547080</v>
      </c>
      <c r="AF32" s="73">
        <f>SUM(W21:W32)</f>
        <v>16520000</v>
      </c>
      <c r="AG32" s="74">
        <f>VLOOKUP(AF32,REF!$U$10:$V$12,2,1)</f>
        <v>0.2</v>
      </c>
    </row>
    <row r="33" spans="17:30" x14ac:dyDescent="0.3">
      <c r="Q33" s="10" t="s">
        <v>51</v>
      </c>
      <c r="R33" s="51">
        <f t="shared" si="6"/>
        <v>26</v>
      </c>
      <c r="S33" s="65">
        <v>0</v>
      </c>
      <c r="T33" s="53">
        <f>INT(T32*0.9)</f>
        <v>21</v>
      </c>
      <c r="U33" s="66">
        <f t="shared" si="1"/>
        <v>10</v>
      </c>
      <c r="V33" s="50">
        <f t="shared" si="2"/>
        <v>20</v>
      </c>
      <c r="W33" s="67">
        <f t="shared" si="3"/>
        <v>1400000</v>
      </c>
      <c r="X33" s="50">
        <f t="shared" si="4"/>
        <v>420000</v>
      </c>
      <c r="Y33" s="50">
        <f>(W21*0.2)+(W9*0.05)</f>
        <v>266000</v>
      </c>
      <c r="Z33" s="53">
        <f>'Personal Earnings CALC'!X33</f>
        <v>67560</v>
      </c>
      <c r="AA33" s="50">
        <f t="shared" si="7"/>
        <v>147000</v>
      </c>
      <c r="AB33" s="68">
        <v>0</v>
      </c>
      <c r="AC33" s="68">
        <v>0</v>
      </c>
      <c r="AD33" s="51">
        <f t="shared" si="5"/>
        <v>214560</v>
      </c>
    </row>
    <row r="34" spans="17:30" x14ac:dyDescent="0.3">
      <c r="Q34" s="10" t="s">
        <v>52</v>
      </c>
      <c r="R34" s="51">
        <f t="shared" si="6"/>
        <v>26</v>
      </c>
      <c r="S34" s="65">
        <v>0</v>
      </c>
      <c r="T34" s="51">
        <f t="shared" ref="T34:T44" si="10">S34+T33</f>
        <v>21</v>
      </c>
      <c r="U34" s="66">
        <f t="shared" si="1"/>
        <v>10</v>
      </c>
      <c r="V34" s="50">
        <f t="shared" si="2"/>
        <v>20</v>
      </c>
      <c r="W34" s="67">
        <f t="shared" si="3"/>
        <v>1400000</v>
      </c>
      <c r="X34" s="50">
        <f t="shared" si="4"/>
        <v>420000</v>
      </c>
      <c r="Y34" s="50">
        <f t="shared" ref="Y34:Y44" si="11">(W22*0.2)+(W10*0.05)</f>
        <v>266000</v>
      </c>
      <c r="Z34" s="53">
        <f>'Personal Earnings CALC'!X34</f>
        <v>67560</v>
      </c>
      <c r="AA34" s="50">
        <f t="shared" si="7"/>
        <v>147000</v>
      </c>
      <c r="AB34" s="68">
        <v>0</v>
      </c>
      <c r="AC34" s="68">
        <v>0</v>
      </c>
      <c r="AD34" s="51">
        <f t="shared" si="5"/>
        <v>214560</v>
      </c>
    </row>
    <row r="35" spans="17:30" x14ac:dyDescent="0.3">
      <c r="Q35" s="10" t="s">
        <v>53</v>
      </c>
      <c r="R35" s="51">
        <f t="shared" si="6"/>
        <v>26</v>
      </c>
      <c r="S35" s="65">
        <f>G20</f>
        <v>3</v>
      </c>
      <c r="T35" s="51">
        <f t="shared" si="10"/>
        <v>24</v>
      </c>
      <c r="U35" s="66">
        <f t="shared" si="1"/>
        <v>12</v>
      </c>
      <c r="V35" s="50">
        <f t="shared" si="2"/>
        <v>24</v>
      </c>
      <c r="W35" s="67">
        <f t="shared" si="3"/>
        <v>1680000</v>
      </c>
      <c r="X35" s="50">
        <f t="shared" si="4"/>
        <v>504000</v>
      </c>
      <c r="Y35" s="50">
        <f t="shared" si="11"/>
        <v>294000</v>
      </c>
      <c r="Z35" s="53">
        <f>'Personal Earnings CALC'!X35</f>
        <v>96360</v>
      </c>
      <c r="AA35" s="50">
        <f t="shared" si="7"/>
        <v>176400</v>
      </c>
      <c r="AB35" s="68">
        <f>SUM(Y33:Y35)*0.32</f>
        <v>264320</v>
      </c>
      <c r="AC35" s="68">
        <f>IF(AND(AVERAGE(U33:U35)&gt;=5,SUM(W33:W35,SUM('Personal Earnings CALC'!P33:P35)*0.5)&gt;=1200000),VLOOKUP(SUM(W33:W35,SUM('Personal Earnings CALC'!P33:P35)*0.5),REF!$G$25:$H$30,2,1))*SUM(X33:X35,SUM('Personal Earnings CALC'!Q33:Q35)*0.5)</f>
        <v>55920</v>
      </c>
      <c r="AD35" s="51">
        <f t="shared" si="5"/>
        <v>593000</v>
      </c>
    </row>
    <row r="36" spans="17:30" x14ac:dyDescent="0.3">
      <c r="Q36" s="10" t="s">
        <v>54</v>
      </c>
      <c r="R36" s="51">
        <f t="shared" si="6"/>
        <v>29</v>
      </c>
      <c r="S36" s="65">
        <v>0</v>
      </c>
      <c r="T36" s="51">
        <f t="shared" si="10"/>
        <v>24</v>
      </c>
      <c r="U36" s="66">
        <f t="shared" si="1"/>
        <v>12</v>
      </c>
      <c r="V36" s="50">
        <f t="shared" si="2"/>
        <v>24</v>
      </c>
      <c r="W36" s="67">
        <f t="shared" si="3"/>
        <v>1680000</v>
      </c>
      <c r="X36" s="50">
        <f t="shared" si="4"/>
        <v>504000</v>
      </c>
      <c r="Y36" s="50">
        <f t="shared" si="11"/>
        <v>294000</v>
      </c>
      <c r="Z36" s="53">
        <f>'Personal Earnings CALC'!X36</f>
        <v>67560</v>
      </c>
      <c r="AA36" s="50">
        <f t="shared" si="7"/>
        <v>176400</v>
      </c>
      <c r="AB36" s="68">
        <v>0</v>
      </c>
      <c r="AC36" s="68">
        <v>0</v>
      </c>
      <c r="AD36" s="51">
        <f t="shared" si="5"/>
        <v>243960</v>
      </c>
    </row>
    <row r="37" spans="17:30" x14ac:dyDescent="0.3">
      <c r="Q37" s="10" t="s">
        <v>55</v>
      </c>
      <c r="R37" s="51">
        <f t="shared" si="6"/>
        <v>29</v>
      </c>
      <c r="S37" s="65">
        <v>0</v>
      </c>
      <c r="T37" s="51">
        <f t="shared" si="10"/>
        <v>24</v>
      </c>
      <c r="U37" s="66">
        <f t="shared" si="1"/>
        <v>12</v>
      </c>
      <c r="V37" s="50">
        <f t="shared" si="2"/>
        <v>24</v>
      </c>
      <c r="W37" s="67">
        <f t="shared" si="3"/>
        <v>1680000</v>
      </c>
      <c r="X37" s="50">
        <f t="shared" si="4"/>
        <v>504000</v>
      </c>
      <c r="Y37" s="50">
        <f t="shared" si="11"/>
        <v>294000</v>
      </c>
      <c r="Z37" s="53">
        <f>'Personal Earnings CALC'!X37</f>
        <v>67560</v>
      </c>
      <c r="AA37" s="50">
        <f t="shared" si="7"/>
        <v>176400</v>
      </c>
      <c r="AB37" s="68">
        <v>0</v>
      </c>
      <c r="AC37" s="68">
        <v>0</v>
      </c>
      <c r="AD37" s="51">
        <f t="shared" si="5"/>
        <v>243960</v>
      </c>
    </row>
    <row r="38" spans="17:30" x14ac:dyDescent="0.3">
      <c r="Q38" s="10" t="s">
        <v>56</v>
      </c>
      <c r="R38" s="51">
        <f t="shared" si="6"/>
        <v>29</v>
      </c>
      <c r="S38" s="65">
        <f>G21</f>
        <v>3</v>
      </c>
      <c r="T38" s="51">
        <f t="shared" si="10"/>
        <v>27</v>
      </c>
      <c r="U38" s="66">
        <f t="shared" si="1"/>
        <v>13</v>
      </c>
      <c r="V38" s="50">
        <f t="shared" si="2"/>
        <v>26</v>
      </c>
      <c r="W38" s="67">
        <f t="shared" si="3"/>
        <v>1820000</v>
      </c>
      <c r="X38" s="50">
        <f t="shared" si="4"/>
        <v>546000</v>
      </c>
      <c r="Y38" s="50">
        <f t="shared" si="11"/>
        <v>322000</v>
      </c>
      <c r="Z38" s="53">
        <f>'Personal Earnings CALC'!X38</f>
        <v>96360</v>
      </c>
      <c r="AA38" s="50">
        <f t="shared" si="7"/>
        <v>191100</v>
      </c>
      <c r="AB38" s="68">
        <f>SUM(Y36:Y38)*0.32</f>
        <v>291200</v>
      </c>
      <c r="AC38" s="68">
        <f>IF(AND(AVERAGE(U36:U38)&gt;=5,SUM(W36:W38,SUM('Personal Earnings CALC'!P36:P38)*0.5)&gt;=1200000),VLOOKUP(SUM(W36:W38,SUM('Personal Earnings CALC'!P36:P38)*0.5),REF!$G$25:$H$30,2,1))*SUM(X36:X38,SUM('Personal Earnings CALC'!Q36:Q38)*0.5)</f>
        <v>80400</v>
      </c>
      <c r="AD38" s="51">
        <f t="shared" si="5"/>
        <v>659060</v>
      </c>
    </row>
    <row r="39" spans="17:30" x14ac:dyDescent="0.3">
      <c r="Q39" s="10" t="s">
        <v>57</v>
      </c>
      <c r="R39" s="51">
        <f t="shared" si="6"/>
        <v>32</v>
      </c>
      <c r="S39" s="65">
        <v>0</v>
      </c>
      <c r="T39" s="51">
        <f t="shared" si="10"/>
        <v>27</v>
      </c>
      <c r="U39" s="66">
        <f t="shared" si="1"/>
        <v>13</v>
      </c>
      <c r="V39" s="50">
        <f t="shared" si="2"/>
        <v>26</v>
      </c>
      <c r="W39" s="67">
        <f t="shared" si="3"/>
        <v>1820000</v>
      </c>
      <c r="X39" s="50">
        <f t="shared" si="4"/>
        <v>546000</v>
      </c>
      <c r="Y39" s="50">
        <f t="shared" si="11"/>
        <v>329000</v>
      </c>
      <c r="Z39" s="53">
        <f>'Personal Earnings CALC'!X39</f>
        <v>67560</v>
      </c>
      <c r="AA39" s="50">
        <f t="shared" si="7"/>
        <v>191100</v>
      </c>
      <c r="AB39" s="68">
        <v>0</v>
      </c>
      <c r="AC39" s="68">
        <v>0</v>
      </c>
      <c r="AD39" s="51">
        <f t="shared" si="5"/>
        <v>258660</v>
      </c>
    </row>
    <row r="40" spans="17:30" x14ac:dyDescent="0.3">
      <c r="Q40" s="10" t="s">
        <v>58</v>
      </c>
      <c r="R40" s="51">
        <f t="shared" si="6"/>
        <v>32</v>
      </c>
      <c r="S40" s="65">
        <v>0</v>
      </c>
      <c r="T40" s="51">
        <f t="shared" si="10"/>
        <v>27</v>
      </c>
      <c r="U40" s="66">
        <f t="shared" si="1"/>
        <v>13</v>
      </c>
      <c r="V40" s="50">
        <f t="shared" si="2"/>
        <v>26</v>
      </c>
      <c r="W40" s="67">
        <f t="shared" si="3"/>
        <v>1820000</v>
      </c>
      <c r="X40" s="50">
        <f t="shared" si="4"/>
        <v>546000</v>
      </c>
      <c r="Y40" s="50">
        <f t="shared" si="11"/>
        <v>329000</v>
      </c>
      <c r="Z40" s="53">
        <f>'Personal Earnings CALC'!X40</f>
        <v>67560</v>
      </c>
      <c r="AA40" s="50">
        <f t="shared" si="7"/>
        <v>191100</v>
      </c>
      <c r="AB40" s="68">
        <v>0</v>
      </c>
      <c r="AC40" s="68">
        <v>0</v>
      </c>
      <c r="AD40" s="51">
        <f t="shared" si="5"/>
        <v>258660</v>
      </c>
    </row>
    <row r="41" spans="17:30" x14ac:dyDescent="0.3">
      <c r="Q41" s="10" t="s">
        <v>59</v>
      </c>
      <c r="R41" s="51">
        <f t="shared" si="6"/>
        <v>32</v>
      </c>
      <c r="S41" s="65">
        <f>G22</f>
        <v>3</v>
      </c>
      <c r="T41" s="51">
        <f t="shared" si="10"/>
        <v>30</v>
      </c>
      <c r="U41" s="66">
        <f t="shared" si="1"/>
        <v>15</v>
      </c>
      <c r="V41" s="50">
        <f t="shared" si="2"/>
        <v>30</v>
      </c>
      <c r="W41" s="67">
        <f t="shared" si="3"/>
        <v>2100000</v>
      </c>
      <c r="X41" s="50">
        <f t="shared" si="4"/>
        <v>630000</v>
      </c>
      <c r="Y41" s="50">
        <f t="shared" si="11"/>
        <v>357000</v>
      </c>
      <c r="Z41" s="53">
        <f>'Personal Earnings CALC'!X41</f>
        <v>96360</v>
      </c>
      <c r="AA41" s="50">
        <f t="shared" si="7"/>
        <v>220500</v>
      </c>
      <c r="AB41" s="68">
        <f>SUM(Y39:Y41)*0.32</f>
        <v>324800</v>
      </c>
      <c r="AC41" s="68">
        <f>IF(AND(AVERAGE(U39:U41)&gt;=5,SUM(W39:W41,SUM('Personal Earnings CALC'!P39:P41)*0.5)&gt;=1200000),VLOOKUP(SUM(W39:W41,SUM('Personal Earnings CALC'!P39:P41)*0.5),REF!$G$25:$H$30,2,1))*SUM(X39:X41,SUM('Personal Earnings CALC'!Q39:Q41)*0.5)</f>
        <v>88800</v>
      </c>
      <c r="AD41" s="51">
        <f t="shared" si="5"/>
        <v>730460</v>
      </c>
    </row>
    <row r="42" spans="17:30" x14ac:dyDescent="0.3">
      <c r="Q42" s="10" t="s">
        <v>60</v>
      </c>
      <c r="R42" s="51">
        <f t="shared" si="6"/>
        <v>35</v>
      </c>
      <c r="S42" s="65">
        <v>0</v>
      </c>
      <c r="T42" s="51">
        <f t="shared" si="10"/>
        <v>30</v>
      </c>
      <c r="U42" s="66">
        <f t="shared" si="1"/>
        <v>15</v>
      </c>
      <c r="V42" s="50">
        <f t="shared" si="2"/>
        <v>30</v>
      </c>
      <c r="W42" s="67">
        <f t="shared" si="3"/>
        <v>2100000</v>
      </c>
      <c r="X42" s="50">
        <f t="shared" si="4"/>
        <v>630000</v>
      </c>
      <c r="Y42" s="50">
        <f t="shared" si="11"/>
        <v>364000</v>
      </c>
      <c r="Z42" s="53">
        <f>'Personal Earnings CALC'!X42</f>
        <v>67560</v>
      </c>
      <c r="AA42" s="50">
        <f t="shared" si="7"/>
        <v>220500</v>
      </c>
      <c r="AB42" s="68">
        <v>0</v>
      </c>
      <c r="AC42" s="68">
        <v>0</v>
      </c>
      <c r="AD42" s="51">
        <f t="shared" si="5"/>
        <v>288060</v>
      </c>
    </row>
    <row r="43" spans="17:30" x14ac:dyDescent="0.3">
      <c r="Q43" s="10" t="s">
        <v>61</v>
      </c>
      <c r="R43" s="51">
        <f t="shared" si="6"/>
        <v>35</v>
      </c>
      <c r="S43" s="65">
        <v>0</v>
      </c>
      <c r="T43" s="51">
        <f t="shared" si="10"/>
        <v>30</v>
      </c>
      <c r="U43" s="66">
        <f t="shared" si="1"/>
        <v>15</v>
      </c>
      <c r="V43" s="50">
        <f t="shared" si="2"/>
        <v>30</v>
      </c>
      <c r="W43" s="67">
        <f t="shared" si="3"/>
        <v>2100000</v>
      </c>
      <c r="X43" s="50">
        <f t="shared" si="4"/>
        <v>630000</v>
      </c>
      <c r="Y43" s="50">
        <f t="shared" si="11"/>
        <v>364000</v>
      </c>
      <c r="Z43" s="53">
        <f>'Personal Earnings CALC'!X43</f>
        <v>67560</v>
      </c>
      <c r="AA43" s="50">
        <f t="shared" si="7"/>
        <v>220500</v>
      </c>
      <c r="AB43" s="68">
        <v>0</v>
      </c>
      <c r="AC43" s="68">
        <v>0</v>
      </c>
      <c r="AD43" s="51">
        <f t="shared" si="5"/>
        <v>288060</v>
      </c>
    </row>
    <row r="44" spans="17:30" x14ac:dyDescent="0.3">
      <c r="Q44" s="10" t="s">
        <v>62</v>
      </c>
      <c r="R44" s="51">
        <f>R43+S43</f>
        <v>35</v>
      </c>
      <c r="S44" s="65">
        <f>G23</f>
        <v>3</v>
      </c>
      <c r="T44" s="51">
        <f t="shared" si="10"/>
        <v>33</v>
      </c>
      <c r="U44" s="66">
        <f t="shared" si="1"/>
        <v>16</v>
      </c>
      <c r="V44" s="50">
        <f t="shared" si="2"/>
        <v>32</v>
      </c>
      <c r="W44" s="67">
        <f t="shared" si="3"/>
        <v>2240000</v>
      </c>
      <c r="X44" s="50">
        <f t="shared" si="4"/>
        <v>672000</v>
      </c>
      <c r="Y44" s="50">
        <f t="shared" si="11"/>
        <v>392000</v>
      </c>
      <c r="Z44" s="53">
        <f>'Personal Earnings CALC'!X44</f>
        <v>96360</v>
      </c>
      <c r="AA44" s="50">
        <f t="shared" si="7"/>
        <v>235199.99999999997</v>
      </c>
      <c r="AB44" s="68">
        <f>SUM(Y42:Y44)*0.32</f>
        <v>358400</v>
      </c>
      <c r="AC44" s="68">
        <f>IF(AND(AVERAGE(U42:U44)&gt;=5,SUM(W42:W44,SUM('Personal Earnings CALC'!P42:P44)*0.5)&gt;=1200000),VLOOKUP(SUM(W42:W44,SUM('Personal Earnings CALC'!P42:P44)*0.5),REF!$G$25:$H$30,2,1))*SUM(X42:X44,SUM('Personal Earnings CALC'!Q42:Q44)*0.5)</f>
        <v>99300</v>
      </c>
      <c r="AD44" s="51">
        <f t="shared" si="5"/>
        <v>789260</v>
      </c>
    </row>
    <row r="45" spans="17:30" x14ac:dyDescent="0.3">
      <c r="Q45" s="61" t="s">
        <v>73</v>
      </c>
      <c r="R45" s="63">
        <f>R44+S44</f>
        <v>38</v>
      </c>
      <c r="S45" s="64">
        <f>SUM(S9:S44)</f>
        <v>26</v>
      </c>
      <c r="T45" s="63">
        <f>T44</f>
        <v>33</v>
      </c>
      <c r="U45" s="69"/>
      <c r="V45" s="70">
        <f t="shared" ref="V45:AD45" si="12">SUM(V9:V44)</f>
        <v>710</v>
      </c>
      <c r="W45" s="70">
        <f t="shared" si="12"/>
        <v>49700000</v>
      </c>
      <c r="X45" s="70">
        <f t="shared" si="12"/>
        <v>14910000</v>
      </c>
      <c r="Y45" s="70">
        <f t="shared" si="12"/>
        <v>6139000</v>
      </c>
      <c r="Z45" s="63">
        <f t="shared" si="12"/>
        <v>2305440</v>
      </c>
      <c r="AA45" s="70">
        <f t="shared" si="12"/>
        <v>5198340</v>
      </c>
      <c r="AB45" s="71">
        <f t="shared" si="12"/>
        <v>1964480</v>
      </c>
      <c r="AC45" s="71">
        <f t="shared" si="12"/>
        <v>612600</v>
      </c>
      <c r="AD45" s="63">
        <f t="shared" si="12"/>
        <v>10080860</v>
      </c>
    </row>
  </sheetData>
  <sheetProtection algorithmName="SHA-512" hashValue="XD1ACR+GtD+NCcyCyuaIGT5gWFyvYdvZWI979sMwlOrCCyWglf3gIlokH5g8TGbcSQyGIBpZ6XuEIbBmEHxXGA==" saltValue="QEN9PkWNJsaw4U9QH0tkMg==" spinCount="100000" sheet="1" objects="1" scenarios="1"/>
  <dataValidations count="1">
    <dataValidation type="whole" allowBlank="1" showInputMessage="1" showErrorMessage="1" errorTitle="Incorrect Input" error="Please re-enter values from 4 to 12." sqref="G10" xr:uid="{00000000-0002-0000-0100-000000000000}">
      <formula1>4</formula1>
      <formula2>12</formula2>
    </dataValidation>
  </dataValidations>
  <pageMargins left="0.7" right="0.7" top="0.75" bottom="0.75" header="0.3" footer="0.3"/>
  <pageSetup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BE4FFD-808B-42D0-9EA7-CE853392442D}">
  <dimension ref="B2:DJ69"/>
  <sheetViews>
    <sheetView showGridLines="0" workbookViewId="0"/>
  </sheetViews>
  <sheetFormatPr defaultRowHeight="14.4" x14ac:dyDescent="0.3"/>
  <cols>
    <col min="1" max="1" width="2.33203125" customWidth="1"/>
    <col min="3" max="3" width="10.6640625" customWidth="1"/>
    <col min="4" max="4" width="12.44140625" customWidth="1"/>
    <col min="12" max="12" width="2.5546875" customWidth="1"/>
    <col min="13" max="13" width="2.33203125" style="7" customWidth="1"/>
    <col min="14" max="14" width="2.5546875" customWidth="1"/>
    <col min="15" max="15" width="9.109375" customWidth="1"/>
    <col min="17" max="17" width="11" bestFit="1" customWidth="1"/>
    <col min="18" max="19" width="10" bestFit="1" customWidth="1"/>
    <col min="20" max="20" width="0" hidden="1" customWidth="1"/>
    <col min="21" max="21" width="10" hidden="1" customWidth="1"/>
    <col min="22" max="24" width="10" bestFit="1" customWidth="1"/>
    <col min="25" max="25" width="10" customWidth="1"/>
    <col min="26" max="35" width="15.6640625" customWidth="1"/>
    <col min="36" max="36" width="13.44140625" bestFit="1" customWidth="1"/>
    <col min="37" max="37" width="3.5546875" customWidth="1"/>
    <col min="38" max="38" width="19.44140625" hidden="1" customWidth="1"/>
    <col min="39" max="39" width="5.33203125" hidden="1" customWidth="1"/>
    <col min="40" max="40" width="3.5546875" customWidth="1"/>
    <col min="41" max="41" width="2.88671875" customWidth="1"/>
    <col min="90" max="90" width="8.88671875" hidden="1" customWidth="1"/>
    <col min="91" max="92" width="9.109375" hidden="1" customWidth="1"/>
    <col min="93" max="93" width="11.5546875" hidden="1" customWidth="1"/>
    <col min="94" max="94" width="9.5546875" hidden="1" customWidth="1"/>
    <col min="95" max="95" width="9.109375" hidden="1" customWidth="1"/>
    <col min="96" max="96" width="11.5546875" hidden="1" customWidth="1"/>
    <col min="97" max="102" width="9.109375" hidden="1" customWidth="1"/>
    <col min="103" max="103" width="10.5546875" hidden="1" customWidth="1"/>
    <col min="104" max="104" width="9.5546875" hidden="1" customWidth="1"/>
    <col min="105" max="105" width="2.88671875" hidden="1" customWidth="1"/>
    <col min="106" max="108" width="9.109375" hidden="1" customWidth="1"/>
    <col min="109" max="109" width="13.33203125" hidden="1" customWidth="1"/>
    <col min="110" max="110" width="11.5546875" hidden="1" customWidth="1"/>
    <col min="111" max="113" width="9.109375" hidden="1" customWidth="1"/>
    <col min="114" max="114" width="8.88671875" hidden="1" customWidth="1"/>
    <col min="116" max="116" width="11.5546875" bestFit="1" customWidth="1"/>
  </cols>
  <sheetData>
    <row r="2" spans="2:114" ht="18" x14ac:dyDescent="0.35">
      <c r="B2" s="75" t="s">
        <v>141</v>
      </c>
      <c r="O2" s="3" t="s">
        <v>183</v>
      </c>
    </row>
    <row r="3" spans="2:114" x14ac:dyDescent="0.3">
      <c r="B3" s="2" t="s">
        <v>140</v>
      </c>
    </row>
    <row r="4" spans="2:114" ht="8.25" customHeight="1" x14ac:dyDescent="0.3"/>
    <row r="5" spans="2:114" ht="18" x14ac:dyDescent="0.35">
      <c r="B5" s="3" t="s">
        <v>2</v>
      </c>
    </row>
    <row r="6" spans="2:114" ht="15.75" customHeight="1" thickBot="1" x14ac:dyDescent="0.35">
      <c r="O6" s="46" t="s">
        <v>102</v>
      </c>
    </row>
    <row r="7" spans="2:114" ht="15" thickBot="1" x14ac:dyDescent="0.35">
      <c r="B7" s="81" t="s">
        <v>3</v>
      </c>
      <c r="C7" s="81"/>
      <c r="D7" s="81"/>
      <c r="E7" s="47">
        <v>5</v>
      </c>
      <c r="F7" s="81" t="s">
        <v>4</v>
      </c>
      <c r="G7" s="81"/>
      <c r="H7" s="81"/>
      <c r="I7" s="81"/>
      <c r="J7" s="81"/>
      <c r="K7" s="81"/>
      <c r="P7" s="97" t="s">
        <v>151</v>
      </c>
      <c r="Q7" s="98"/>
      <c r="R7" s="98"/>
      <c r="S7" s="98"/>
      <c r="T7" s="98"/>
      <c r="U7" s="98"/>
      <c r="V7" s="98"/>
      <c r="W7" s="98"/>
      <c r="X7" s="99"/>
      <c r="Y7" s="100" t="s">
        <v>152</v>
      </c>
      <c r="Z7" s="101"/>
      <c r="AA7" s="101"/>
      <c r="AB7" s="101"/>
      <c r="AC7" s="101"/>
      <c r="AD7" s="101"/>
      <c r="AE7" s="101"/>
      <c r="AF7" s="101"/>
      <c r="AG7" s="101"/>
      <c r="AH7" s="101"/>
      <c r="AI7" s="102"/>
      <c r="CM7" s="1" t="s">
        <v>91</v>
      </c>
    </row>
    <row r="8" spans="2:114" x14ac:dyDescent="0.3">
      <c r="B8" s="81" t="s">
        <v>5</v>
      </c>
      <c r="C8" s="81"/>
      <c r="D8" s="81"/>
      <c r="E8" s="81"/>
      <c r="F8" s="81"/>
      <c r="G8" s="48">
        <v>80000</v>
      </c>
      <c r="H8" s="81"/>
      <c r="I8" s="81"/>
      <c r="J8" s="81"/>
      <c r="K8" s="81"/>
      <c r="O8" s="9" t="s">
        <v>38</v>
      </c>
      <c r="P8" s="9" t="s">
        <v>66</v>
      </c>
      <c r="Q8" s="9" t="s">
        <v>68</v>
      </c>
      <c r="R8" s="9" t="s">
        <v>65</v>
      </c>
      <c r="S8" s="9" t="s">
        <v>67</v>
      </c>
      <c r="T8" s="9" t="s">
        <v>89</v>
      </c>
      <c r="U8" s="9" t="s">
        <v>90</v>
      </c>
      <c r="V8" s="9" t="s">
        <v>70</v>
      </c>
      <c r="W8" s="9" t="s">
        <v>69</v>
      </c>
      <c r="X8" s="9" t="s">
        <v>71</v>
      </c>
      <c r="Y8" s="9" t="s">
        <v>179</v>
      </c>
      <c r="Z8" s="9" t="s">
        <v>125</v>
      </c>
      <c r="AA8" s="9" t="s">
        <v>126</v>
      </c>
      <c r="AB8" s="9" t="s">
        <v>129</v>
      </c>
      <c r="AC8" s="9" t="s">
        <v>130</v>
      </c>
      <c r="AD8" s="9" t="s">
        <v>131</v>
      </c>
      <c r="AE8" s="9" t="s">
        <v>132</v>
      </c>
      <c r="AF8" s="9" t="s">
        <v>136</v>
      </c>
      <c r="AG8" s="9" t="s">
        <v>133</v>
      </c>
      <c r="AH8" s="9" t="s">
        <v>135</v>
      </c>
      <c r="AI8" s="9" t="s">
        <v>110</v>
      </c>
      <c r="AJ8" s="9" t="s">
        <v>72</v>
      </c>
      <c r="CM8" s="9" t="s">
        <v>92</v>
      </c>
      <c r="CN8" s="9" t="s">
        <v>66</v>
      </c>
      <c r="CO8" s="9" t="s">
        <v>93</v>
      </c>
      <c r="CP8" s="9" t="s">
        <v>65</v>
      </c>
      <c r="CQ8" s="9" t="s">
        <v>95</v>
      </c>
      <c r="CR8" s="9" t="s">
        <v>193</v>
      </c>
      <c r="CS8" s="9" t="s">
        <v>97</v>
      </c>
      <c r="CT8" s="9" t="s">
        <v>67</v>
      </c>
      <c r="CU8" s="9" t="s">
        <v>98</v>
      </c>
      <c r="CV8" s="9" t="s">
        <v>99</v>
      </c>
      <c r="CW8" s="9" t="s">
        <v>100</v>
      </c>
      <c r="CX8" s="9" t="s">
        <v>101</v>
      </c>
      <c r="CY8" s="9" t="s">
        <v>70</v>
      </c>
      <c r="CZ8" s="9" t="s">
        <v>69</v>
      </c>
      <c r="DB8" s="9" t="s">
        <v>86</v>
      </c>
      <c r="DC8" s="9" t="s">
        <v>92</v>
      </c>
      <c r="DD8" s="9" t="s">
        <v>66</v>
      </c>
      <c r="DE8" s="9" t="s">
        <v>93</v>
      </c>
      <c r="DF8" s="9" t="s">
        <v>65</v>
      </c>
      <c r="DG8" s="9" t="s">
        <v>103</v>
      </c>
      <c r="DH8" s="9" t="s">
        <v>71</v>
      </c>
      <c r="DI8" s="9" t="s">
        <v>179</v>
      </c>
      <c r="DJ8" s="9" t="s">
        <v>180</v>
      </c>
    </row>
    <row r="9" spans="2:114" x14ac:dyDescent="0.3">
      <c r="B9" s="81" t="s">
        <v>6</v>
      </c>
      <c r="C9" s="81"/>
      <c r="D9" s="81"/>
      <c r="E9" s="48">
        <v>12</v>
      </c>
      <c r="F9" s="81" t="s">
        <v>63</v>
      </c>
      <c r="G9" s="81"/>
      <c r="H9" s="81"/>
      <c r="I9" s="81"/>
      <c r="J9" s="81"/>
      <c r="K9" s="81"/>
      <c r="O9" s="66" t="s">
        <v>28</v>
      </c>
      <c r="P9" s="50">
        <f t="shared" ref="P9:R44" si="0">CN9</f>
        <v>5</v>
      </c>
      <c r="Q9" s="51">
        <f t="shared" si="0"/>
        <v>400000</v>
      </c>
      <c r="R9" s="52">
        <f t="shared" si="0"/>
        <v>120000</v>
      </c>
      <c r="S9" s="52">
        <f t="shared" ref="S9:S44" si="1">CT9</f>
        <v>0</v>
      </c>
      <c r="T9" s="52">
        <f t="shared" ref="T9:T44" si="2">CV9</f>
        <v>0</v>
      </c>
      <c r="U9" s="52">
        <f t="shared" ref="U9:W44" si="3">CX9</f>
        <v>0</v>
      </c>
      <c r="V9" s="51">
        <f t="shared" si="3"/>
        <v>0</v>
      </c>
      <c r="W9" s="53">
        <f t="shared" si="3"/>
        <v>0</v>
      </c>
      <c r="X9" s="53">
        <f>DH9</f>
        <v>0</v>
      </c>
      <c r="Y9" s="53">
        <v>0</v>
      </c>
      <c r="Z9" s="53">
        <f>DB9</f>
        <v>0</v>
      </c>
      <c r="AA9" s="53">
        <v>0</v>
      </c>
      <c r="AB9" s="77">
        <f t="shared" ref="AB9:AB24" si="4">ROUND(Z9*$G$27,0)</f>
        <v>0</v>
      </c>
      <c r="AC9" s="77">
        <f t="shared" ref="AC9:AC20" si="5">AB9*$G$28</f>
        <v>0</v>
      </c>
      <c r="AD9" s="77">
        <f t="shared" ref="AD9:AD17" si="6">AC9*$G$29</f>
        <v>0</v>
      </c>
      <c r="AE9" s="77">
        <f t="shared" ref="AE9:AE24" si="7">AD9*0.3</f>
        <v>0</v>
      </c>
      <c r="AF9" s="77">
        <v>0</v>
      </c>
      <c r="AG9" s="77">
        <f t="shared" ref="AG9:AG40" si="8">IF(DJ9="U1",AE9*0.35,0)</f>
        <v>0</v>
      </c>
      <c r="AH9" s="77">
        <v>0</v>
      </c>
      <c r="AI9" s="77">
        <v>0</v>
      </c>
      <c r="AJ9" s="52">
        <f t="shared" ref="AJ9:AJ20" si="9">SUM(R9:X9)</f>
        <v>120000</v>
      </c>
      <c r="CL9">
        <v>1</v>
      </c>
      <c r="CM9" s="5">
        <f>IF($E$9&gt;=6,1,0)</f>
        <v>1</v>
      </c>
      <c r="CN9" s="31">
        <f>CM9*$E$7</f>
        <v>5</v>
      </c>
      <c r="CO9" s="32">
        <f>CN9*$G$8</f>
        <v>400000</v>
      </c>
      <c r="CP9" s="33">
        <f>CO9*0.3</f>
        <v>120000</v>
      </c>
      <c r="CQ9" s="31">
        <f>CN9*3</f>
        <v>15</v>
      </c>
      <c r="CR9" s="34">
        <f>CO9*2</f>
        <v>800000</v>
      </c>
      <c r="CS9" s="40"/>
      <c r="CT9" s="33"/>
      <c r="CU9" s="40">
        <v>0</v>
      </c>
      <c r="CV9" s="33"/>
      <c r="CW9" s="40">
        <v>0</v>
      </c>
      <c r="CX9" s="33"/>
      <c r="CY9" s="32">
        <v>0</v>
      </c>
      <c r="DB9" s="32">
        <v>0</v>
      </c>
      <c r="DC9" s="5">
        <f>IF($G$23&gt;=6,1,0)</f>
        <v>1</v>
      </c>
      <c r="DD9" s="32">
        <f t="shared" ref="DD9:DD47" si="10">DC9*$G$21*DB9</f>
        <v>0</v>
      </c>
      <c r="DE9" s="32">
        <f>DD9*$H$22</f>
        <v>0</v>
      </c>
      <c r="DF9" s="32">
        <f t="shared" ref="DF9:DF17" si="11">DE9*0.3</f>
        <v>0</v>
      </c>
      <c r="DG9" s="40">
        <f t="shared" ref="DG9:DG68" si="12">IF($G$21&gt;=2,15%,7.5%)</f>
        <v>0.15</v>
      </c>
      <c r="DH9" s="34">
        <f>DG9*DF9</f>
        <v>0</v>
      </c>
      <c r="DI9" s="34">
        <v>0</v>
      </c>
      <c r="DJ9" t="s">
        <v>181</v>
      </c>
    </row>
    <row r="10" spans="2:114" x14ac:dyDescent="0.3">
      <c r="B10" s="81"/>
      <c r="C10" s="81"/>
      <c r="D10" s="81"/>
      <c r="E10" s="81"/>
      <c r="F10" s="81"/>
      <c r="G10" s="81"/>
      <c r="H10" s="81"/>
      <c r="I10" s="81"/>
      <c r="J10" s="81"/>
      <c r="K10" s="81"/>
      <c r="O10" s="66" t="s">
        <v>29</v>
      </c>
      <c r="P10" s="50">
        <f t="shared" si="0"/>
        <v>5</v>
      </c>
      <c r="Q10" s="51">
        <f t="shared" si="0"/>
        <v>400000</v>
      </c>
      <c r="R10" s="52">
        <f t="shared" si="0"/>
        <v>120000</v>
      </c>
      <c r="S10" s="52">
        <f t="shared" si="1"/>
        <v>0</v>
      </c>
      <c r="T10" s="52">
        <f t="shared" si="2"/>
        <v>0</v>
      </c>
      <c r="U10" s="52">
        <f t="shared" si="3"/>
        <v>0</v>
      </c>
      <c r="V10" s="51">
        <f t="shared" si="3"/>
        <v>0</v>
      </c>
      <c r="W10" s="53">
        <f t="shared" si="3"/>
        <v>0</v>
      </c>
      <c r="X10" s="53">
        <f t="shared" ref="X10:X20" si="13">DH10</f>
        <v>0</v>
      </c>
      <c r="Y10" s="53">
        <v>0</v>
      </c>
      <c r="Z10" s="53">
        <f t="shared" ref="Z10:Z68" si="14">DB10</f>
        <v>0</v>
      </c>
      <c r="AA10" s="53">
        <v>0</v>
      </c>
      <c r="AB10" s="77">
        <f t="shared" si="4"/>
        <v>0</v>
      </c>
      <c r="AC10" s="77">
        <f t="shared" si="5"/>
        <v>0</v>
      </c>
      <c r="AD10" s="77">
        <f t="shared" si="6"/>
        <v>0</v>
      </c>
      <c r="AE10" s="77">
        <f t="shared" si="7"/>
        <v>0</v>
      </c>
      <c r="AF10" s="77">
        <v>0</v>
      </c>
      <c r="AG10" s="77">
        <f t="shared" si="8"/>
        <v>0</v>
      </c>
      <c r="AH10" s="77">
        <v>0</v>
      </c>
      <c r="AI10" s="77">
        <v>0</v>
      </c>
      <c r="AJ10" s="52">
        <f t="shared" si="9"/>
        <v>120000</v>
      </c>
      <c r="CL10">
        <f>CL9+1</f>
        <v>2</v>
      </c>
      <c r="CM10" s="5">
        <f>IF($E$9&gt;=5,1,0)</f>
        <v>1</v>
      </c>
      <c r="CN10" s="31">
        <f>CM10*$E$7</f>
        <v>5</v>
      </c>
      <c r="CO10" s="32">
        <f t="shared" ref="CO10:CO44" si="15">CN10*$G$8</f>
        <v>400000</v>
      </c>
      <c r="CP10" s="33">
        <f t="shared" ref="CP10:CP44" si="16">CO10*0.3</f>
        <v>120000</v>
      </c>
      <c r="CQ10" s="31">
        <f>(CN10*2)+CN9</f>
        <v>15</v>
      </c>
      <c r="CR10" s="34">
        <f>CO10+CR9</f>
        <v>1200000</v>
      </c>
      <c r="CS10" s="40"/>
      <c r="CT10" s="33"/>
      <c r="CU10" s="40">
        <v>0</v>
      </c>
      <c r="CV10" s="33"/>
      <c r="CW10" s="40">
        <v>0</v>
      </c>
      <c r="CX10" s="33"/>
      <c r="CY10" s="32">
        <v>0</v>
      </c>
      <c r="DB10" s="32">
        <v>0</v>
      </c>
      <c r="DC10" s="5">
        <f>IF($G$23&gt;=5,1,0)</f>
        <v>1</v>
      </c>
      <c r="DD10" s="32">
        <f t="shared" si="10"/>
        <v>0</v>
      </c>
      <c r="DE10" s="32">
        <f t="shared" ref="DE10:DE68" si="17">DD10*$H$22</f>
        <v>0</v>
      </c>
      <c r="DF10" s="32">
        <f t="shared" si="11"/>
        <v>0</v>
      </c>
      <c r="DG10" s="40">
        <f t="shared" ref="DG10:DG26" si="18">IF($G$21&gt;=2,15%,7.5%)</f>
        <v>0.15</v>
      </c>
      <c r="DH10" s="34">
        <f t="shared" ref="DH10:DH44" si="19">DG10*DF10</f>
        <v>0</v>
      </c>
      <c r="DI10" s="34">
        <v>0</v>
      </c>
      <c r="DJ10" t="s">
        <v>181</v>
      </c>
    </row>
    <row r="11" spans="2:114" x14ac:dyDescent="0.3">
      <c r="B11" s="81" t="s">
        <v>8</v>
      </c>
      <c r="C11" s="81"/>
      <c r="D11" s="81"/>
      <c r="E11" s="81"/>
      <c r="F11" s="81"/>
      <c r="G11" s="81"/>
      <c r="H11" s="81"/>
      <c r="I11" s="81"/>
      <c r="J11" s="81"/>
      <c r="K11" s="81"/>
      <c r="O11" s="66" t="s">
        <v>9</v>
      </c>
      <c r="P11" s="50">
        <f t="shared" si="0"/>
        <v>5</v>
      </c>
      <c r="Q11" s="51">
        <f t="shared" si="0"/>
        <v>400000</v>
      </c>
      <c r="R11" s="52">
        <f t="shared" si="0"/>
        <v>120000</v>
      </c>
      <c r="S11" s="52">
        <f t="shared" si="1"/>
        <v>90000</v>
      </c>
      <c r="T11" s="52">
        <f t="shared" si="2"/>
        <v>0</v>
      </c>
      <c r="U11" s="52">
        <f t="shared" si="3"/>
        <v>0</v>
      </c>
      <c r="V11" s="51">
        <f t="shared" si="3"/>
        <v>0</v>
      </c>
      <c r="W11" s="53">
        <f t="shared" si="3"/>
        <v>0</v>
      </c>
      <c r="X11" s="53">
        <f t="shared" si="13"/>
        <v>0</v>
      </c>
      <c r="Y11" s="53">
        <v>0</v>
      </c>
      <c r="Z11" s="53">
        <f t="shared" si="14"/>
        <v>0</v>
      </c>
      <c r="AA11" s="53">
        <f>C$13</f>
        <v>0</v>
      </c>
      <c r="AB11" s="77">
        <f t="shared" si="4"/>
        <v>0</v>
      </c>
      <c r="AC11" s="77">
        <f t="shared" si="5"/>
        <v>0</v>
      </c>
      <c r="AD11" s="77">
        <f t="shared" si="6"/>
        <v>0</v>
      </c>
      <c r="AE11" s="77">
        <f t="shared" si="7"/>
        <v>0</v>
      </c>
      <c r="AF11" s="77">
        <v>0</v>
      </c>
      <c r="AG11" s="77">
        <f t="shared" si="8"/>
        <v>0</v>
      </c>
      <c r="AH11" s="77">
        <v>0</v>
      </c>
      <c r="AI11" s="77">
        <v>0</v>
      </c>
      <c r="AJ11" s="52">
        <f t="shared" si="9"/>
        <v>210000</v>
      </c>
      <c r="CL11">
        <f t="shared" ref="CL11:CL68" si="20">CL10+1</f>
        <v>3</v>
      </c>
      <c r="CM11" s="5">
        <v>1</v>
      </c>
      <c r="CN11" s="31">
        <f>CM11*$E$7</f>
        <v>5</v>
      </c>
      <c r="CO11" s="32">
        <f t="shared" si="15"/>
        <v>400000</v>
      </c>
      <c r="CP11" s="33">
        <f t="shared" si="16"/>
        <v>120000</v>
      </c>
      <c r="CQ11" s="31">
        <f>SUM(CN9:CN11)</f>
        <v>15</v>
      </c>
      <c r="CR11" s="34">
        <f>CO11+CR10</f>
        <v>1600000</v>
      </c>
      <c r="CS11" s="40">
        <f>VLOOKUP(CR11,REF!$J$4:$K$10,2,1)</f>
        <v>0.25</v>
      </c>
      <c r="CT11" s="33">
        <f>CS11*SUM(CP9:CP11)</f>
        <v>90000</v>
      </c>
      <c r="CU11" s="40">
        <v>0</v>
      </c>
      <c r="CV11" s="33"/>
      <c r="CW11" s="40">
        <v>0</v>
      </c>
      <c r="CX11" s="33"/>
      <c r="CY11" s="32">
        <v>0</v>
      </c>
      <c r="DB11" s="32">
        <f>C13</f>
        <v>0</v>
      </c>
      <c r="DC11" s="5">
        <v>1</v>
      </c>
      <c r="DD11" s="32">
        <f t="shared" si="10"/>
        <v>0</v>
      </c>
      <c r="DE11" s="32">
        <f t="shared" si="17"/>
        <v>0</v>
      </c>
      <c r="DF11" s="32">
        <f t="shared" si="11"/>
        <v>0</v>
      </c>
      <c r="DG11" s="40">
        <f t="shared" si="18"/>
        <v>0.15</v>
      </c>
      <c r="DH11" s="34">
        <f t="shared" si="19"/>
        <v>0</v>
      </c>
      <c r="DI11" s="34">
        <v>0</v>
      </c>
      <c r="DJ11" t="s">
        <v>181</v>
      </c>
    </row>
    <row r="12" spans="2:114" x14ac:dyDescent="0.3">
      <c r="B12" s="81"/>
      <c r="C12" s="81" t="s">
        <v>146</v>
      </c>
      <c r="D12" s="81"/>
      <c r="E12" s="81" t="s">
        <v>147</v>
      </c>
      <c r="F12" s="81"/>
      <c r="G12" s="81" t="s">
        <v>148</v>
      </c>
      <c r="H12" s="81"/>
      <c r="I12" s="81" t="s">
        <v>149</v>
      </c>
      <c r="J12" s="81"/>
      <c r="K12" s="81" t="s">
        <v>150</v>
      </c>
      <c r="O12" s="66" t="s">
        <v>30</v>
      </c>
      <c r="P12" s="50">
        <f t="shared" si="0"/>
        <v>5</v>
      </c>
      <c r="Q12" s="51">
        <f t="shared" si="0"/>
        <v>400000</v>
      </c>
      <c r="R12" s="52">
        <f t="shared" si="0"/>
        <v>120000</v>
      </c>
      <c r="S12" s="52">
        <f t="shared" si="1"/>
        <v>0</v>
      </c>
      <c r="T12" s="52">
        <f t="shared" si="2"/>
        <v>0</v>
      </c>
      <c r="U12" s="52">
        <f t="shared" si="3"/>
        <v>0</v>
      </c>
      <c r="V12" s="51">
        <f t="shared" si="3"/>
        <v>0</v>
      </c>
      <c r="W12" s="53">
        <f t="shared" si="3"/>
        <v>0</v>
      </c>
      <c r="X12" s="53">
        <f t="shared" si="13"/>
        <v>0</v>
      </c>
      <c r="Y12" s="53">
        <v>0</v>
      </c>
      <c r="Z12" s="53">
        <f t="shared" si="14"/>
        <v>0</v>
      </c>
      <c r="AA12" s="53">
        <v>0</v>
      </c>
      <c r="AB12" s="77">
        <f t="shared" si="4"/>
        <v>0</v>
      </c>
      <c r="AC12" s="77">
        <f t="shared" si="5"/>
        <v>0</v>
      </c>
      <c r="AD12" s="77">
        <f t="shared" si="6"/>
        <v>0</v>
      </c>
      <c r="AE12" s="77">
        <f t="shared" si="7"/>
        <v>0</v>
      </c>
      <c r="AF12" s="77">
        <v>0</v>
      </c>
      <c r="AG12" s="77">
        <f t="shared" si="8"/>
        <v>0</v>
      </c>
      <c r="AH12" s="77">
        <v>0</v>
      </c>
      <c r="AI12" s="77">
        <v>0</v>
      </c>
      <c r="AJ12" s="52">
        <f t="shared" si="9"/>
        <v>120000</v>
      </c>
      <c r="CL12">
        <f t="shared" si="20"/>
        <v>4</v>
      </c>
      <c r="CM12" s="5">
        <f>IF($E$9=12,1,0)</f>
        <v>1</v>
      </c>
      <c r="CN12" s="31">
        <f>CM12*$E$7</f>
        <v>5</v>
      </c>
      <c r="CO12" s="32">
        <f t="shared" si="15"/>
        <v>400000</v>
      </c>
      <c r="CP12" s="33">
        <f t="shared" si="16"/>
        <v>120000</v>
      </c>
      <c r="CQ12" s="31">
        <f t="shared" ref="CQ12:CQ44" si="21">SUM(CN10:CN12)</f>
        <v>15</v>
      </c>
      <c r="CR12" s="34">
        <f>CO12</f>
        <v>400000</v>
      </c>
      <c r="CS12" s="40"/>
      <c r="CT12" s="33"/>
      <c r="CU12" s="40">
        <v>0</v>
      </c>
      <c r="CV12" s="33"/>
      <c r="CW12" s="40">
        <v>0</v>
      </c>
      <c r="CX12" s="33"/>
      <c r="CY12" s="32">
        <v>0</v>
      </c>
      <c r="DB12" s="32">
        <f>DB11</f>
        <v>0</v>
      </c>
      <c r="DC12" s="5">
        <f>IF($G$23=12,1,0)</f>
        <v>0</v>
      </c>
      <c r="DD12" s="32">
        <f t="shared" si="10"/>
        <v>0</v>
      </c>
      <c r="DE12" s="32">
        <f t="shared" si="17"/>
        <v>0</v>
      </c>
      <c r="DF12" s="32">
        <f t="shared" si="11"/>
        <v>0</v>
      </c>
      <c r="DG12" s="40">
        <f t="shared" si="18"/>
        <v>0.15</v>
      </c>
      <c r="DH12" s="34">
        <f t="shared" si="19"/>
        <v>0</v>
      </c>
      <c r="DI12" s="34">
        <v>0</v>
      </c>
      <c r="DJ12" t="s">
        <v>181</v>
      </c>
    </row>
    <row r="13" spans="2:114" x14ac:dyDescent="0.3">
      <c r="B13" s="82" t="s">
        <v>142</v>
      </c>
      <c r="C13" s="49"/>
      <c r="D13" s="82" t="s">
        <v>142</v>
      </c>
      <c r="E13" s="49">
        <v>2</v>
      </c>
      <c r="F13" s="82" t="s">
        <v>142</v>
      </c>
      <c r="G13" s="49">
        <v>3</v>
      </c>
      <c r="H13" s="82" t="s">
        <v>142</v>
      </c>
      <c r="I13" s="49">
        <v>3</v>
      </c>
      <c r="J13" s="82" t="s">
        <v>142</v>
      </c>
      <c r="K13" s="49">
        <v>3</v>
      </c>
      <c r="O13" s="66" t="s">
        <v>31</v>
      </c>
      <c r="P13" s="50">
        <f t="shared" si="0"/>
        <v>5</v>
      </c>
      <c r="Q13" s="51">
        <f t="shared" si="0"/>
        <v>400000</v>
      </c>
      <c r="R13" s="52">
        <f t="shared" si="0"/>
        <v>120000</v>
      </c>
      <c r="S13" s="52">
        <f t="shared" si="1"/>
        <v>0</v>
      </c>
      <c r="T13" s="52">
        <f t="shared" si="2"/>
        <v>0</v>
      </c>
      <c r="U13" s="52">
        <f t="shared" si="3"/>
        <v>0</v>
      </c>
      <c r="V13" s="51">
        <f t="shared" si="3"/>
        <v>0</v>
      </c>
      <c r="W13" s="53">
        <f t="shared" si="3"/>
        <v>0</v>
      </c>
      <c r="X13" s="53">
        <f t="shared" si="13"/>
        <v>0</v>
      </c>
      <c r="Y13" s="53">
        <v>0</v>
      </c>
      <c r="Z13" s="53">
        <f t="shared" si="14"/>
        <v>0</v>
      </c>
      <c r="AA13" s="53">
        <v>0</v>
      </c>
      <c r="AB13" s="77">
        <f t="shared" si="4"/>
        <v>0</v>
      </c>
      <c r="AC13" s="77">
        <f t="shared" si="5"/>
        <v>0</v>
      </c>
      <c r="AD13" s="77">
        <f t="shared" si="6"/>
        <v>0</v>
      </c>
      <c r="AE13" s="77">
        <f t="shared" si="7"/>
        <v>0</v>
      </c>
      <c r="AF13" s="77">
        <v>0</v>
      </c>
      <c r="AG13" s="77">
        <f t="shared" si="8"/>
        <v>0</v>
      </c>
      <c r="AH13" s="77">
        <v>0</v>
      </c>
      <c r="AI13" s="77">
        <v>0</v>
      </c>
      <c r="AJ13" s="52">
        <f t="shared" si="9"/>
        <v>120000</v>
      </c>
      <c r="CL13">
        <f t="shared" si="20"/>
        <v>5</v>
      </c>
      <c r="CM13" s="5">
        <f>IF($E$9&gt;=10,1,0)</f>
        <v>1</v>
      </c>
      <c r="CN13" s="31">
        <f>CM13*$E$7</f>
        <v>5</v>
      </c>
      <c r="CO13" s="32">
        <f t="shared" si="15"/>
        <v>400000</v>
      </c>
      <c r="CP13" s="33">
        <f t="shared" si="16"/>
        <v>120000</v>
      </c>
      <c r="CQ13" s="31">
        <f t="shared" si="21"/>
        <v>15</v>
      </c>
      <c r="CR13" s="34">
        <f>CO13+CR12</f>
        <v>800000</v>
      </c>
      <c r="CS13" s="40"/>
      <c r="CT13" s="33"/>
      <c r="CU13" s="40">
        <v>0</v>
      </c>
      <c r="CV13" s="33"/>
      <c r="CW13" s="40">
        <v>0</v>
      </c>
      <c r="CX13" s="33"/>
      <c r="CY13" s="32">
        <v>0</v>
      </c>
      <c r="DB13" s="32">
        <f>DB12</f>
        <v>0</v>
      </c>
      <c r="DC13" s="5">
        <f>IF($G$23&gt;=10,1,0)</f>
        <v>0</v>
      </c>
      <c r="DD13" s="32">
        <f t="shared" si="10"/>
        <v>0</v>
      </c>
      <c r="DE13" s="32">
        <f t="shared" si="17"/>
        <v>0</v>
      </c>
      <c r="DF13" s="32">
        <f t="shared" si="11"/>
        <v>0</v>
      </c>
      <c r="DG13" s="40">
        <f t="shared" si="18"/>
        <v>0.15</v>
      </c>
      <c r="DH13" s="34">
        <f t="shared" si="19"/>
        <v>0</v>
      </c>
      <c r="DI13" s="34">
        <v>0</v>
      </c>
      <c r="DJ13" t="s">
        <v>181</v>
      </c>
    </row>
    <row r="14" spans="2:114" x14ac:dyDescent="0.3">
      <c r="B14" s="82" t="s">
        <v>143</v>
      </c>
      <c r="C14" s="49"/>
      <c r="D14" s="82" t="s">
        <v>143</v>
      </c>
      <c r="E14" s="49"/>
      <c r="F14" s="82" t="s">
        <v>143</v>
      </c>
      <c r="G14" s="49">
        <v>3</v>
      </c>
      <c r="H14" s="82" t="s">
        <v>143</v>
      </c>
      <c r="I14" s="49">
        <v>3</v>
      </c>
      <c r="J14" s="82" t="s">
        <v>143</v>
      </c>
      <c r="K14" s="49">
        <v>3</v>
      </c>
      <c r="O14" s="66" t="s">
        <v>10</v>
      </c>
      <c r="P14" s="50">
        <f t="shared" si="0"/>
        <v>5</v>
      </c>
      <c r="Q14" s="51">
        <f t="shared" si="0"/>
        <v>400000</v>
      </c>
      <c r="R14" s="52">
        <f t="shared" si="0"/>
        <v>120000</v>
      </c>
      <c r="S14" s="52">
        <f t="shared" si="1"/>
        <v>72000</v>
      </c>
      <c r="T14" s="52">
        <f t="shared" si="2"/>
        <v>0</v>
      </c>
      <c r="U14" s="52">
        <f t="shared" si="3"/>
        <v>0</v>
      </c>
      <c r="V14" s="51">
        <f t="shared" si="3"/>
        <v>0</v>
      </c>
      <c r="W14" s="53">
        <f t="shared" si="3"/>
        <v>0</v>
      </c>
      <c r="X14" s="53">
        <f t="shared" si="13"/>
        <v>0</v>
      </c>
      <c r="Y14" s="53">
        <v>0</v>
      </c>
      <c r="Z14" s="53">
        <f t="shared" si="14"/>
        <v>0</v>
      </c>
      <c r="AA14" s="53">
        <f>C$14</f>
        <v>0</v>
      </c>
      <c r="AB14" s="77">
        <f t="shared" si="4"/>
        <v>0</v>
      </c>
      <c r="AC14" s="77">
        <f t="shared" si="5"/>
        <v>0</v>
      </c>
      <c r="AD14" s="77">
        <f t="shared" si="6"/>
        <v>0</v>
      </c>
      <c r="AE14" s="77">
        <f t="shared" si="7"/>
        <v>0</v>
      </c>
      <c r="AF14" s="77">
        <v>0</v>
      </c>
      <c r="AG14" s="77">
        <f t="shared" si="8"/>
        <v>0</v>
      </c>
      <c r="AH14" s="77">
        <v>0</v>
      </c>
      <c r="AI14" s="77">
        <v>0</v>
      </c>
      <c r="AJ14" s="52">
        <f t="shared" si="9"/>
        <v>192000</v>
      </c>
      <c r="CL14">
        <f t="shared" si="20"/>
        <v>6</v>
      </c>
      <c r="CM14" s="5">
        <v>1</v>
      </c>
      <c r="CN14" s="31">
        <f t="shared" ref="CN14:CN68" si="22">CM14*$E$7</f>
        <v>5</v>
      </c>
      <c r="CO14" s="32">
        <f t="shared" si="15"/>
        <v>400000</v>
      </c>
      <c r="CP14" s="33">
        <f t="shared" si="16"/>
        <v>120000</v>
      </c>
      <c r="CQ14" s="31">
        <f t="shared" si="21"/>
        <v>15</v>
      </c>
      <c r="CR14" s="34">
        <f>CO14+CR13</f>
        <v>1200000</v>
      </c>
      <c r="CS14" s="40">
        <f>VLOOKUP(CR14,REF!$J$4:$K$10,2,1)</f>
        <v>0.2</v>
      </c>
      <c r="CT14" s="33">
        <f>CS14*SUM(CP12:CP14)</f>
        <v>72000</v>
      </c>
      <c r="CU14" s="40">
        <v>0</v>
      </c>
      <c r="CV14" s="33"/>
      <c r="CW14" s="40">
        <v>0</v>
      </c>
      <c r="CX14" s="33"/>
      <c r="CY14" s="32">
        <v>0</v>
      </c>
      <c r="DB14" s="32">
        <f>DB13+C14</f>
        <v>0</v>
      </c>
      <c r="DC14" s="5">
        <v>1</v>
      </c>
      <c r="DD14" s="32">
        <f t="shared" si="10"/>
        <v>0</v>
      </c>
      <c r="DE14" s="32">
        <f t="shared" si="17"/>
        <v>0</v>
      </c>
      <c r="DF14" s="32">
        <f t="shared" si="11"/>
        <v>0</v>
      </c>
      <c r="DG14" s="40">
        <f t="shared" si="18"/>
        <v>0.15</v>
      </c>
      <c r="DH14" s="34">
        <f t="shared" si="19"/>
        <v>0</v>
      </c>
      <c r="DI14" s="34">
        <v>0</v>
      </c>
      <c r="DJ14" t="s">
        <v>181</v>
      </c>
    </row>
    <row r="15" spans="2:114" x14ac:dyDescent="0.3">
      <c r="B15" s="82" t="s">
        <v>144</v>
      </c>
      <c r="C15" s="49">
        <v>2</v>
      </c>
      <c r="D15" s="82" t="s">
        <v>144</v>
      </c>
      <c r="E15" s="49">
        <v>2</v>
      </c>
      <c r="F15" s="82" t="s">
        <v>144</v>
      </c>
      <c r="G15" s="49">
        <v>3</v>
      </c>
      <c r="H15" s="82" t="s">
        <v>144</v>
      </c>
      <c r="I15" s="49">
        <v>3</v>
      </c>
      <c r="J15" s="82" t="s">
        <v>144</v>
      </c>
      <c r="K15" s="49">
        <v>3</v>
      </c>
      <c r="O15" s="66" t="s">
        <v>32</v>
      </c>
      <c r="P15" s="50">
        <f t="shared" si="0"/>
        <v>5</v>
      </c>
      <c r="Q15" s="51">
        <f t="shared" si="0"/>
        <v>400000</v>
      </c>
      <c r="R15" s="52">
        <f t="shared" si="0"/>
        <v>120000</v>
      </c>
      <c r="S15" s="52">
        <f t="shared" si="1"/>
        <v>0</v>
      </c>
      <c r="T15" s="52">
        <f t="shared" si="2"/>
        <v>0</v>
      </c>
      <c r="U15" s="52">
        <f t="shared" si="3"/>
        <v>0</v>
      </c>
      <c r="V15" s="51">
        <f t="shared" si="3"/>
        <v>0</v>
      </c>
      <c r="W15" s="53">
        <f t="shared" si="3"/>
        <v>0</v>
      </c>
      <c r="X15" s="53">
        <f t="shared" si="13"/>
        <v>0</v>
      </c>
      <c r="Y15" s="53">
        <v>0</v>
      </c>
      <c r="Z15" s="53">
        <f t="shared" si="14"/>
        <v>0</v>
      </c>
      <c r="AA15" s="53">
        <v>0</v>
      </c>
      <c r="AB15" s="77">
        <f t="shared" si="4"/>
        <v>0</v>
      </c>
      <c r="AC15" s="77">
        <f t="shared" si="5"/>
        <v>0</v>
      </c>
      <c r="AD15" s="77">
        <f t="shared" si="6"/>
        <v>0</v>
      </c>
      <c r="AE15" s="77">
        <f t="shared" si="7"/>
        <v>0</v>
      </c>
      <c r="AF15" s="77">
        <v>0</v>
      </c>
      <c r="AG15" s="77">
        <f t="shared" si="8"/>
        <v>0</v>
      </c>
      <c r="AH15" s="77">
        <v>0</v>
      </c>
      <c r="AI15" s="77">
        <v>0</v>
      </c>
      <c r="AJ15" s="52">
        <f t="shared" si="9"/>
        <v>120000</v>
      </c>
      <c r="CL15">
        <f t="shared" si="20"/>
        <v>7</v>
      </c>
      <c r="CM15" s="5">
        <f>IF($E$9&gt;=11,1,0)</f>
        <v>1</v>
      </c>
      <c r="CN15" s="31">
        <f t="shared" si="22"/>
        <v>5</v>
      </c>
      <c r="CO15" s="32">
        <f t="shared" si="15"/>
        <v>400000</v>
      </c>
      <c r="CP15" s="33">
        <f t="shared" si="16"/>
        <v>120000</v>
      </c>
      <c r="CQ15" s="31">
        <f t="shared" si="21"/>
        <v>15</v>
      </c>
      <c r="CR15" s="34">
        <f>CO15</f>
        <v>400000</v>
      </c>
      <c r="CS15" s="40"/>
      <c r="CT15" s="33"/>
      <c r="CU15" s="40">
        <v>0</v>
      </c>
      <c r="CV15" s="33"/>
      <c r="CW15" s="40">
        <v>0</v>
      </c>
      <c r="CX15" s="33"/>
      <c r="CY15" s="32">
        <v>0</v>
      </c>
      <c r="DB15" s="32">
        <f>DB14</f>
        <v>0</v>
      </c>
      <c r="DC15" s="5">
        <f>IF($G$23&gt;=11,1,0)</f>
        <v>0</v>
      </c>
      <c r="DD15" s="32">
        <f t="shared" si="10"/>
        <v>0</v>
      </c>
      <c r="DE15" s="32">
        <f t="shared" si="17"/>
        <v>0</v>
      </c>
      <c r="DF15" s="32">
        <f t="shared" si="11"/>
        <v>0</v>
      </c>
      <c r="DG15" s="40">
        <f t="shared" si="18"/>
        <v>0.15</v>
      </c>
      <c r="DH15" s="34">
        <f t="shared" si="19"/>
        <v>0</v>
      </c>
      <c r="DI15" s="34">
        <v>0</v>
      </c>
      <c r="DJ15" t="s">
        <v>181</v>
      </c>
    </row>
    <row r="16" spans="2:114" x14ac:dyDescent="0.3">
      <c r="B16" s="82" t="s">
        <v>145</v>
      </c>
      <c r="C16" s="49">
        <v>2</v>
      </c>
      <c r="D16" s="82" t="s">
        <v>145</v>
      </c>
      <c r="E16" s="49"/>
      <c r="F16" s="82" t="s">
        <v>145</v>
      </c>
      <c r="G16" s="49">
        <v>3</v>
      </c>
      <c r="H16" s="82" t="s">
        <v>145</v>
      </c>
      <c r="I16" s="49">
        <v>3</v>
      </c>
      <c r="J16" s="82" t="s">
        <v>145</v>
      </c>
      <c r="K16" s="49">
        <v>3</v>
      </c>
      <c r="O16" s="66" t="s">
        <v>33</v>
      </c>
      <c r="P16" s="50">
        <f t="shared" si="0"/>
        <v>5</v>
      </c>
      <c r="Q16" s="51">
        <f t="shared" si="0"/>
        <v>400000</v>
      </c>
      <c r="R16" s="52">
        <f t="shared" si="0"/>
        <v>120000</v>
      </c>
      <c r="S16" s="52">
        <f t="shared" si="1"/>
        <v>0</v>
      </c>
      <c r="T16" s="52">
        <f t="shared" si="2"/>
        <v>0</v>
      </c>
      <c r="U16" s="52">
        <f t="shared" si="3"/>
        <v>0</v>
      </c>
      <c r="V16" s="51">
        <f t="shared" si="3"/>
        <v>0</v>
      </c>
      <c r="W16" s="53">
        <f t="shared" si="3"/>
        <v>0</v>
      </c>
      <c r="X16" s="53">
        <f t="shared" si="13"/>
        <v>0</v>
      </c>
      <c r="Y16" s="53">
        <v>0</v>
      </c>
      <c r="Z16" s="53">
        <f t="shared" si="14"/>
        <v>0</v>
      </c>
      <c r="AA16" s="53">
        <v>0</v>
      </c>
      <c r="AB16" s="77">
        <f t="shared" si="4"/>
        <v>0</v>
      </c>
      <c r="AC16" s="77">
        <f t="shared" si="5"/>
        <v>0</v>
      </c>
      <c r="AD16" s="77">
        <f t="shared" si="6"/>
        <v>0</v>
      </c>
      <c r="AE16" s="77">
        <f t="shared" si="7"/>
        <v>0</v>
      </c>
      <c r="AF16" s="77">
        <v>0</v>
      </c>
      <c r="AG16" s="77">
        <f t="shared" si="8"/>
        <v>0</v>
      </c>
      <c r="AH16" s="77">
        <v>0</v>
      </c>
      <c r="AI16" s="77">
        <v>0</v>
      </c>
      <c r="AJ16" s="52">
        <f t="shared" si="9"/>
        <v>120000</v>
      </c>
      <c r="CL16">
        <f t="shared" si="20"/>
        <v>8</v>
      </c>
      <c r="CM16" s="5">
        <f>IF($E$9&gt;=9,1,0)</f>
        <v>1</v>
      </c>
      <c r="CN16" s="31">
        <f t="shared" si="22"/>
        <v>5</v>
      </c>
      <c r="CO16" s="32">
        <f t="shared" si="15"/>
        <v>400000</v>
      </c>
      <c r="CP16" s="33">
        <f t="shared" si="16"/>
        <v>120000</v>
      </c>
      <c r="CQ16" s="31">
        <f t="shared" si="21"/>
        <v>15</v>
      </c>
      <c r="CR16" s="34">
        <f>CO16+CR15</f>
        <v>800000</v>
      </c>
      <c r="CS16" s="40"/>
      <c r="CT16" s="33"/>
      <c r="CU16" s="40">
        <v>0</v>
      </c>
      <c r="CV16" s="33"/>
      <c r="CW16" s="40">
        <v>0</v>
      </c>
      <c r="CX16" s="33"/>
      <c r="CY16" s="32">
        <v>0</v>
      </c>
      <c r="DB16" s="32">
        <f>DB15</f>
        <v>0</v>
      </c>
      <c r="DC16" s="5">
        <f>IF($G$23&gt;=9,1,0)</f>
        <v>0</v>
      </c>
      <c r="DD16" s="32">
        <f t="shared" si="10"/>
        <v>0</v>
      </c>
      <c r="DE16" s="32">
        <f t="shared" si="17"/>
        <v>0</v>
      </c>
      <c r="DF16" s="32">
        <f t="shared" si="11"/>
        <v>0</v>
      </c>
      <c r="DG16" s="40">
        <f t="shared" si="18"/>
        <v>0.15</v>
      </c>
      <c r="DH16" s="34">
        <f t="shared" si="19"/>
        <v>0</v>
      </c>
      <c r="DI16" s="34">
        <v>0</v>
      </c>
      <c r="DJ16" t="s">
        <v>181</v>
      </c>
    </row>
    <row r="17" spans="2:114" x14ac:dyDescent="0.3">
      <c r="B17" s="82"/>
      <c r="C17" s="76"/>
      <c r="D17" s="83"/>
      <c r="E17" s="76"/>
      <c r="F17" s="83"/>
      <c r="G17" s="76"/>
      <c r="H17" s="83"/>
      <c r="I17" s="76"/>
      <c r="J17" s="83"/>
      <c r="K17" s="76"/>
      <c r="O17" s="66" t="s">
        <v>34</v>
      </c>
      <c r="P17" s="50">
        <f t="shared" si="0"/>
        <v>5</v>
      </c>
      <c r="Q17" s="51">
        <f t="shared" si="0"/>
        <v>400000</v>
      </c>
      <c r="R17" s="52">
        <f t="shared" si="0"/>
        <v>120000</v>
      </c>
      <c r="S17" s="52">
        <f t="shared" si="1"/>
        <v>72000</v>
      </c>
      <c r="T17" s="52">
        <f t="shared" si="2"/>
        <v>0</v>
      </c>
      <c r="U17" s="52">
        <f t="shared" si="3"/>
        <v>0</v>
      </c>
      <c r="V17" s="51">
        <f t="shared" si="3"/>
        <v>0</v>
      </c>
      <c r="W17" s="53">
        <f t="shared" si="3"/>
        <v>0</v>
      </c>
      <c r="X17" s="53">
        <f t="shared" si="13"/>
        <v>12600</v>
      </c>
      <c r="Y17" s="53">
        <v>0</v>
      </c>
      <c r="Z17" s="53">
        <f t="shared" si="14"/>
        <v>2</v>
      </c>
      <c r="AA17" s="53">
        <f>C$15</f>
        <v>2</v>
      </c>
      <c r="AB17" s="77">
        <f t="shared" si="4"/>
        <v>1</v>
      </c>
      <c r="AC17" s="77">
        <f t="shared" si="5"/>
        <v>2</v>
      </c>
      <c r="AD17" s="77">
        <f t="shared" si="6"/>
        <v>140000</v>
      </c>
      <c r="AE17" s="77">
        <f t="shared" si="7"/>
        <v>42000</v>
      </c>
      <c r="AF17" s="77">
        <v>0</v>
      </c>
      <c r="AG17" s="77">
        <f t="shared" si="8"/>
        <v>0</v>
      </c>
      <c r="AH17" s="77">
        <v>0</v>
      </c>
      <c r="AI17" s="77">
        <v>0</v>
      </c>
      <c r="AJ17" s="52">
        <f t="shared" si="9"/>
        <v>204600</v>
      </c>
      <c r="CL17">
        <f t="shared" si="20"/>
        <v>9</v>
      </c>
      <c r="CM17" s="5">
        <v>1</v>
      </c>
      <c r="CN17" s="31">
        <f t="shared" si="22"/>
        <v>5</v>
      </c>
      <c r="CO17" s="32">
        <f t="shared" si="15"/>
        <v>400000</v>
      </c>
      <c r="CP17" s="33">
        <f t="shared" si="16"/>
        <v>120000</v>
      </c>
      <c r="CQ17" s="31">
        <f t="shared" si="21"/>
        <v>15</v>
      </c>
      <c r="CR17" s="34">
        <f>CO17+CR16</f>
        <v>1200000</v>
      </c>
      <c r="CS17" s="40">
        <f>VLOOKUP(CR17,REF!$J$4:$K$10,2,1)</f>
        <v>0.2</v>
      </c>
      <c r="CT17" s="33">
        <f>CS17*SUM(CP15:CP17)</f>
        <v>72000</v>
      </c>
      <c r="CU17" s="40">
        <v>0</v>
      </c>
      <c r="CV17" s="33"/>
      <c r="CW17" s="40">
        <v>0</v>
      </c>
      <c r="CX17" s="33"/>
      <c r="CY17" s="32">
        <v>0</v>
      </c>
      <c r="DB17" s="32">
        <f>DB16+C15</f>
        <v>2</v>
      </c>
      <c r="DC17" s="5">
        <v>1</v>
      </c>
      <c r="DD17" s="32">
        <f t="shared" si="10"/>
        <v>4</v>
      </c>
      <c r="DE17" s="32">
        <f t="shared" si="17"/>
        <v>280000</v>
      </c>
      <c r="DF17" s="32">
        <f t="shared" si="11"/>
        <v>84000</v>
      </c>
      <c r="DG17" s="40">
        <f t="shared" si="18"/>
        <v>0.15</v>
      </c>
      <c r="DH17" s="34">
        <f t="shared" si="19"/>
        <v>12600</v>
      </c>
      <c r="DI17" s="34">
        <v>0</v>
      </c>
      <c r="DJ17" t="s">
        <v>181</v>
      </c>
    </row>
    <row r="18" spans="2:114" x14ac:dyDescent="0.3">
      <c r="B18" s="84" t="s">
        <v>182</v>
      </c>
      <c r="C18" s="76"/>
      <c r="D18" s="83"/>
      <c r="E18" s="76"/>
      <c r="F18" s="83"/>
      <c r="G18" s="76"/>
      <c r="H18" s="83"/>
      <c r="I18" s="76"/>
      <c r="J18" s="83"/>
      <c r="K18" s="76"/>
      <c r="O18" s="66" t="s">
        <v>35</v>
      </c>
      <c r="P18" s="50">
        <f t="shared" si="0"/>
        <v>5</v>
      </c>
      <c r="Q18" s="51">
        <f t="shared" si="0"/>
        <v>400000</v>
      </c>
      <c r="R18" s="52">
        <f t="shared" si="0"/>
        <v>120000</v>
      </c>
      <c r="S18" s="52">
        <f t="shared" si="1"/>
        <v>0</v>
      </c>
      <c r="T18" s="52">
        <f t="shared" si="2"/>
        <v>0</v>
      </c>
      <c r="U18" s="52">
        <f t="shared" si="3"/>
        <v>0</v>
      </c>
      <c r="V18" s="51">
        <f t="shared" si="3"/>
        <v>0</v>
      </c>
      <c r="W18" s="53">
        <f t="shared" si="3"/>
        <v>0</v>
      </c>
      <c r="X18" s="53">
        <f t="shared" si="13"/>
        <v>12600</v>
      </c>
      <c r="Y18" s="53">
        <v>0</v>
      </c>
      <c r="Z18" s="53">
        <f t="shared" si="14"/>
        <v>2</v>
      </c>
      <c r="AA18" s="53">
        <v>0</v>
      </c>
      <c r="AB18" s="77">
        <f t="shared" si="4"/>
        <v>1</v>
      </c>
      <c r="AC18" s="77">
        <f t="shared" si="5"/>
        <v>2</v>
      </c>
      <c r="AD18" s="77">
        <f t="shared" ref="AD18:AD19" si="23">AC18*$G$29</f>
        <v>140000</v>
      </c>
      <c r="AE18" s="77">
        <f t="shared" si="7"/>
        <v>42000</v>
      </c>
      <c r="AF18" s="77">
        <v>0</v>
      </c>
      <c r="AG18" s="77">
        <f t="shared" si="8"/>
        <v>0</v>
      </c>
      <c r="AH18" s="77">
        <v>0</v>
      </c>
      <c r="AI18" s="77">
        <v>0</v>
      </c>
      <c r="AJ18" s="52">
        <f t="shared" si="9"/>
        <v>132600</v>
      </c>
      <c r="CL18">
        <f t="shared" si="20"/>
        <v>10</v>
      </c>
      <c r="CM18" s="5">
        <f>IF($E$9&gt;=8,1,0)</f>
        <v>1</v>
      </c>
      <c r="CN18" s="31">
        <f t="shared" si="22"/>
        <v>5</v>
      </c>
      <c r="CO18" s="32">
        <f t="shared" si="15"/>
        <v>400000</v>
      </c>
      <c r="CP18" s="33">
        <f t="shared" si="16"/>
        <v>120000</v>
      </c>
      <c r="CQ18" s="31">
        <f t="shared" si="21"/>
        <v>15</v>
      </c>
      <c r="CR18" s="34">
        <f>CO18</f>
        <v>400000</v>
      </c>
      <c r="CS18" s="40"/>
      <c r="CT18" s="33"/>
      <c r="CU18" s="40">
        <v>0</v>
      </c>
      <c r="CV18" s="33"/>
      <c r="CW18" s="40">
        <v>0</v>
      </c>
      <c r="CX18" s="33"/>
      <c r="CY18" s="32">
        <v>0</v>
      </c>
      <c r="DB18" s="32">
        <f>DB17</f>
        <v>2</v>
      </c>
      <c r="DC18" s="5">
        <f>IF($G$23&gt;=8,1,0)</f>
        <v>1</v>
      </c>
      <c r="DD18" s="32">
        <f t="shared" si="10"/>
        <v>4</v>
      </c>
      <c r="DE18" s="32">
        <f t="shared" si="17"/>
        <v>280000</v>
      </c>
      <c r="DF18" s="32">
        <f t="shared" ref="DF18:DF44" si="24">DE18*0.3</f>
        <v>84000</v>
      </c>
      <c r="DG18" s="40">
        <f t="shared" si="18"/>
        <v>0.15</v>
      </c>
      <c r="DH18" s="34">
        <f t="shared" si="19"/>
        <v>12600</v>
      </c>
      <c r="DI18" s="34">
        <v>0</v>
      </c>
      <c r="DJ18" t="s">
        <v>181</v>
      </c>
    </row>
    <row r="19" spans="2:114" x14ac:dyDescent="0.3">
      <c r="B19" s="81"/>
      <c r="C19" s="81"/>
      <c r="D19" s="81"/>
      <c r="E19" s="81"/>
      <c r="F19" s="81"/>
      <c r="G19" s="81"/>
      <c r="H19" s="81"/>
      <c r="I19" s="81"/>
      <c r="J19" s="81"/>
      <c r="K19" s="81"/>
      <c r="O19" s="66" t="s">
        <v>36</v>
      </c>
      <c r="P19" s="50">
        <f t="shared" si="0"/>
        <v>5</v>
      </c>
      <c r="Q19" s="51">
        <f t="shared" si="0"/>
        <v>400000</v>
      </c>
      <c r="R19" s="52">
        <f t="shared" si="0"/>
        <v>120000</v>
      </c>
      <c r="S19" s="52">
        <f t="shared" si="1"/>
        <v>0</v>
      </c>
      <c r="T19" s="52">
        <f t="shared" si="2"/>
        <v>0</v>
      </c>
      <c r="U19" s="52">
        <f t="shared" si="3"/>
        <v>0</v>
      </c>
      <c r="V19" s="51">
        <f t="shared" si="3"/>
        <v>0</v>
      </c>
      <c r="W19" s="53">
        <f t="shared" si="3"/>
        <v>0</v>
      </c>
      <c r="X19" s="53">
        <f t="shared" si="13"/>
        <v>12600</v>
      </c>
      <c r="Y19" s="53">
        <v>0</v>
      </c>
      <c r="Z19" s="53">
        <f t="shared" si="14"/>
        <v>2</v>
      </c>
      <c r="AA19" s="53">
        <v>0</v>
      </c>
      <c r="AB19" s="77">
        <f t="shared" si="4"/>
        <v>1</v>
      </c>
      <c r="AC19" s="77">
        <f t="shared" si="5"/>
        <v>2</v>
      </c>
      <c r="AD19" s="77">
        <f t="shared" si="23"/>
        <v>140000</v>
      </c>
      <c r="AE19" s="77">
        <f t="shared" si="7"/>
        <v>42000</v>
      </c>
      <c r="AF19" s="77">
        <v>0</v>
      </c>
      <c r="AG19" s="77">
        <f t="shared" si="8"/>
        <v>0</v>
      </c>
      <c r="AH19" s="77">
        <v>0</v>
      </c>
      <c r="AI19" s="77">
        <v>0</v>
      </c>
      <c r="AJ19" s="52">
        <f t="shared" si="9"/>
        <v>132600</v>
      </c>
      <c r="CL19">
        <f t="shared" si="20"/>
        <v>11</v>
      </c>
      <c r="CM19" s="5">
        <f>IF($E$9&gt;=7,1,0)</f>
        <v>1</v>
      </c>
      <c r="CN19" s="31">
        <f t="shared" si="22"/>
        <v>5</v>
      </c>
      <c r="CO19" s="32">
        <f t="shared" si="15"/>
        <v>400000</v>
      </c>
      <c r="CP19" s="33">
        <f t="shared" si="16"/>
        <v>120000</v>
      </c>
      <c r="CQ19" s="31">
        <f t="shared" si="21"/>
        <v>15</v>
      </c>
      <c r="CR19" s="34">
        <f>CO19+CR18</f>
        <v>800000</v>
      </c>
      <c r="CS19" s="40"/>
      <c r="CT19" s="33"/>
      <c r="CU19" s="40">
        <v>0</v>
      </c>
      <c r="CV19" s="33"/>
      <c r="CW19" s="40">
        <v>0</v>
      </c>
      <c r="CX19" s="33"/>
      <c r="CY19" s="32">
        <v>0</v>
      </c>
      <c r="DB19" s="32">
        <f>DB18</f>
        <v>2</v>
      </c>
      <c r="DC19" s="5">
        <f>IF($G$23&gt;=7,1,0)</f>
        <v>1</v>
      </c>
      <c r="DD19" s="32">
        <f t="shared" si="10"/>
        <v>4</v>
      </c>
      <c r="DE19" s="32">
        <f t="shared" si="17"/>
        <v>280000</v>
      </c>
      <c r="DF19" s="32">
        <f t="shared" si="24"/>
        <v>84000</v>
      </c>
      <c r="DG19" s="40">
        <f t="shared" si="18"/>
        <v>0.15</v>
      </c>
      <c r="DH19" s="34">
        <f t="shared" si="19"/>
        <v>12600</v>
      </c>
      <c r="DI19" s="34">
        <v>0</v>
      </c>
      <c r="DJ19" t="s">
        <v>181</v>
      </c>
    </row>
    <row r="20" spans="2:114" x14ac:dyDescent="0.3">
      <c r="B20" s="85" t="s">
        <v>177</v>
      </c>
      <c r="C20" s="81"/>
      <c r="D20" s="81"/>
      <c r="E20" s="81"/>
      <c r="F20" s="81"/>
      <c r="G20" s="81"/>
      <c r="H20" s="81"/>
      <c r="I20" s="81"/>
      <c r="J20" s="81"/>
      <c r="K20" s="81"/>
      <c r="O20" s="66" t="s">
        <v>37</v>
      </c>
      <c r="P20" s="50">
        <f t="shared" si="0"/>
        <v>5</v>
      </c>
      <c r="Q20" s="51">
        <f t="shared" si="0"/>
        <v>400000</v>
      </c>
      <c r="R20" s="52">
        <f t="shared" si="0"/>
        <v>120000</v>
      </c>
      <c r="S20" s="52">
        <f t="shared" si="1"/>
        <v>72000</v>
      </c>
      <c r="T20" s="52">
        <f t="shared" si="2"/>
        <v>0</v>
      </c>
      <c r="U20" s="52">
        <f t="shared" si="3"/>
        <v>0</v>
      </c>
      <c r="V20" s="51">
        <f t="shared" si="3"/>
        <v>0</v>
      </c>
      <c r="W20" s="53">
        <f t="shared" si="3"/>
        <v>0</v>
      </c>
      <c r="X20" s="53">
        <f t="shared" si="13"/>
        <v>25200</v>
      </c>
      <c r="Y20" s="53">
        <v>0</v>
      </c>
      <c r="Z20" s="53">
        <f t="shared" si="14"/>
        <v>4</v>
      </c>
      <c r="AA20" s="53">
        <f>C$16</f>
        <v>2</v>
      </c>
      <c r="AB20" s="77">
        <f t="shared" si="4"/>
        <v>2</v>
      </c>
      <c r="AC20" s="77">
        <f t="shared" si="5"/>
        <v>4</v>
      </c>
      <c r="AD20" s="77">
        <f t="shared" ref="AD20:AD28" si="25">AC20*$G$29</f>
        <v>280000</v>
      </c>
      <c r="AE20" s="77">
        <f t="shared" si="7"/>
        <v>84000</v>
      </c>
      <c r="AF20" s="77">
        <v>0</v>
      </c>
      <c r="AG20" s="77">
        <f t="shared" si="8"/>
        <v>0</v>
      </c>
      <c r="AH20" s="77">
        <v>0</v>
      </c>
      <c r="AI20" s="77">
        <v>0</v>
      </c>
      <c r="AJ20" s="52">
        <f t="shared" si="9"/>
        <v>217200</v>
      </c>
      <c r="CL20">
        <f t="shared" si="20"/>
        <v>12</v>
      </c>
      <c r="CM20" s="5">
        <v>1</v>
      </c>
      <c r="CN20" s="31">
        <f t="shared" si="22"/>
        <v>5</v>
      </c>
      <c r="CO20" s="32">
        <f t="shared" si="15"/>
        <v>400000</v>
      </c>
      <c r="CP20" s="33">
        <f t="shared" si="16"/>
        <v>120000</v>
      </c>
      <c r="CQ20" s="31">
        <f t="shared" si="21"/>
        <v>15</v>
      </c>
      <c r="CR20" s="34">
        <f>CO20+CR19</f>
        <v>1200000</v>
      </c>
      <c r="CS20" s="40">
        <f>VLOOKUP(CR20,REF!$J$4:$K$10,2,1)</f>
        <v>0.2</v>
      </c>
      <c r="CT20" s="33">
        <f>CS20*SUM(CP18:CP20)</f>
        <v>72000</v>
      </c>
      <c r="CU20" s="40">
        <v>0</v>
      </c>
      <c r="CV20" s="33"/>
      <c r="CW20" s="40">
        <v>0</v>
      </c>
      <c r="CX20" s="33"/>
      <c r="CY20" s="32">
        <v>0</v>
      </c>
      <c r="DB20" s="32">
        <f>DB19+C16</f>
        <v>4</v>
      </c>
      <c r="DC20" s="5">
        <v>1</v>
      </c>
      <c r="DD20" s="32">
        <f t="shared" si="10"/>
        <v>8</v>
      </c>
      <c r="DE20" s="32">
        <f t="shared" si="17"/>
        <v>560000</v>
      </c>
      <c r="DF20" s="32">
        <f t="shared" si="24"/>
        <v>168000</v>
      </c>
      <c r="DG20" s="40">
        <f t="shared" si="18"/>
        <v>0.15</v>
      </c>
      <c r="DH20" s="34">
        <f t="shared" si="19"/>
        <v>25200</v>
      </c>
      <c r="DI20" s="34">
        <v>0</v>
      </c>
      <c r="DJ20" t="s">
        <v>181</v>
      </c>
    </row>
    <row r="21" spans="2:114" x14ac:dyDescent="0.3">
      <c r="B21" s="81" t="s">
        <v>23</v>
      </c>
      <c r="C21" s="81"/>
      <c r="D21" s="81"/>
      <c r="E21" s="81"/>
      <c r="F21" s="81"/>
      <c r="G21" s="47">
        <v>2</v>
      </c>
      <c r="H21" s="81" t="s">
        <v>88</v>
      </c>
      <c r="I21" s="81"/>
      <c r="J21" s="81"/>
      <c r="K21" s="81"/>
      <c r="O21" s="66" t="s">
        <v>39</v>
      </c>
      <c r="P21" s="50">
        <f t="shared" si="0"/>
        <v>5</v>
      </c>
      <c r="Q21" s="51">
        <f t="shared" si="0"/>
        <v>400000</v>
      </c>
      <c r="R21" s="52">
        <f t="shared" si="0"/>
        <v>120000</v>
      </c>
      <c r="S21" s="52">
        <f t="shared" si="1"/>
        <v>0</v>
      </c>
      <c r="T21" s="52">
        <f t="shared" si="2"/>
        <v>0</v>
      </c>
      <c r="U21" s="52">
        <f t="shared" si="3"/>
        <v>0</v>
      </c>
      <c r="V21" s="51">
        <f t="shared" si="3"/>
        <v>80000</v>
      </c>
      <c r="W21" s="53">
        <f t="shared" si="3"/>
        <v>0</v>
      </c>
      <c r="X21" s="53">
        <f>IF(DJ21="C1",DH21,0)</f>
        <v>0</v>
      </c>
      <c r="Y21" s="53">
        <f>IF(DJ21="U2",DI21,0)</f>
        <v>25200</v>
      </c>
      <c r="Z21" s="53">
        <f t="shared" si="14"/>
        <v>4</v>
      </c>
      <c r="AA21" s="53">
        <v>0</v>
      </c>
      <c r="AB21" s="78">
        <f t="shared" si="4"/>
        <v>2</v>
      </c>
      <c r="AC21" s="78">
        <f t="shared" ref="AC21:AC24" si="26">AB21*$G$28</f>
        <v>4</v>
      </c>
      <c r="AD21" s="78">
        <f t="shared" si="25"/>
        <v>280000</v>
      </c>
      <c r="AE21" s="78">
        <f t="shared" si="7"/>
        <v>84000</v>
      </c>
      <c r="AF21" s="53">
        <f t="shared" ref="AF21:AF32" si="27">AD9*0.2</f>
        <v>0</v>
      </c>
      <c r="AG21" s="78">
        <f t="shared" si="8"/>
        <v>0</v>
      </c>
      <c r="AH21" s="78">
        <v>0</v>
      </c>
      <c r="AI21" s="53">
        <v>0</v>
      </c>
      <c r="AJ21" s="52">
        <f>SUM(R21:Y21)</f>
        <v>225200</v>
      </c>
      <c r="CL21">
        <f t="shared" si="20"/>
        <v>13</v>
      </c>
      <c r="CM21" s="5">
        <f>IF($E$9&gt;=6,1,0)</f>
        <v>1</v>
      </c>
      <c r="CN21" s="31">
        <f t="shared" si="22"/>
        <v>5</v>
      </c>
      <c r="CO21" s="32">
        <f t="shared" si="15"/>
        <v>400000</v>
      </c>
      <c r="CP21" s="33">
        <f t="shared" si="16"/>
        <v>120000</v>
      </c>
      <c r="CQ21" s="31">
        <f t="shared" si="21"/>
        <v>15</v>
      </c>
      <c r="CR21" s="34">
        <f>CO21</f>
        <v>400000</v>
      </c>
      <c r="CS21" s="41"/>
      <c r="CT21" s="33"/>
      <c r="CU21" s="41">
        <f>VLOOKUP(CQ21,REF!$M$16:$N$18,2,1)</f>
        <v>0.15</v>
      </c>
      <c r="CV21" s="43"/>
      <c r="CW21" s="41">
        <f>VLOOKUP(SUM($CP$9:$CP$20),REF!$O$2:$P$5,2,1)*IF(AND(SUM('Advisor-Leader'!$CN$9:$CN$20)&gt;=24,'Advisor-Leader'!$E$9&gt;=7),1,0)</f>
        <v>1.2</v>
      </c>
      <c r="CX21" s="43"/>
      <c r="CY21" s="45">
        <f t="shared" ref="CY21:CY32" si="28">CO9*0.2</f>
        <v>80000</v>
      </c>
      <c r="CZ21" s="44"/>
      <c r="DB21" s="32">
        <f>DB20</f>
        <v>4</v>
      </c>
      <c r="DC21" s="5">
        <f>IF($G$23&gt;=6,1,0)</f>
        <v>1</v>
      </c>
      <c r="DD21" s="32">
        <f t="shared" si="10"/>
        <v>8</v>
      </c>
      <c r="DE21" s="32">
        <f t="shared" si="17"/>
        <v>560000</v>
      </c>
      <c r="DF21" s="32">
        <f t="shared" si="24"/>
        <v>168000</v>
      </c>
      <c r="DG21" s="40">
        <f t="shared" si="18"/>
        <v>0.15</v>
      </c>
      <c r="DH21" s="34">
        <f>DG21*DF21</f>
        <v>25200</v>
      </c>
      <c r="DI21" s="34">
        <f>DF21*0.15</f>
        <v>25200</v>
      </c>
      <c r="DJ21" t="str">
        <f>IF(DB21&gt;=2,"U2","C1")</f>
        <v>U2</v>
      </c>
    </row>
    <row r="22" spans="2:114" x14ac:dyDescent="0.3">
      <c r="B22" s="81" t="s">
        <v>24</v>
      </c>
      <c r="C22" s="81"/>
      <c r="D22" s="81"/>
      <c r="E22" s="81"/>
      <c r="F22" s="81"/>
      <c r="G22" s="81"/>
      <c r="H22" s="48">
        <v>70000</v>
      </c>
      <c r="I22" s="81"/>
      <c r="J22" s="81"/>
      <c r="K22" s="81"/>
      <c r="O22" s="66" t="s">
        <v>40</v>
      </c>
      <c r="P22" s="50">
        <f t="shared" si="0"/>
        <v>5</v>
      </c>
      <c r="Q22" s="51">
        <f t="shared" si="0"/>
        <v>400000</v>
      </c>
      <c r="R22" s="52">
        <f t="shared" si="0"/>
        <v>120000</v>
      </c>
      <c r="S22" s="52">
        <f t="shared" si="1"/>
        <v>0</v>
      </c>
      <c r="T22" s="52">
        <f t="shared" si="2"/>
        <v>0</v>
      </c>
      <c r="U22" s="52">
        <f t="shared" si="3"/>
        <v>0</v>
      </c>
      <c r="V22" s="51">
        <f t="shared" si="3"/>
        <v>80000</v>
      </c>
      <c r="W22" s="53">
        <f t="shared" si="3"/>
        <v>0</v>
      </c>
      <c r="X22" s="53">
        <f t="shared" ref="X22:X68" si="29">IF(DJ22="C1",DH22,0)</f>
        <v>0</v>
      </c>
      <c r="Y22" s="53">
        <f t="shared" ref="Y22:Y68" si="30">IF(DJ22="U2",DI22,0)</f>
        <v>25200</v>
      </c>
      <c r="Z22" s="53">
        <f t="shared" si="14"/>
        <v>4</v>
      </c>
      <c r="AA22" s="53">
        <v>0</v>
      </c>
      <c r="AB22" s="78">
        <f t="shared" si="4"/>
        <v>2</v>
      </c>
      <c r="AC22" s="78">
        <f t="shared" si="26"/>
        <v>4</v>
      </c>
      <c r="AD22" s="78">
        <f t="shared" si="25"/>
        <v>280000</v>
      </c>
      <c r="AE22" s="78">
        <f t="shared" si="7"/>
        <v>84000</v>
      </c>
      <c r="AF22" s="53">
        <f t="shared" si="27"/>
        <v>0</v>
      </c>
      <c r="AG22" s="78">
        <f t="shared" si="8"/>
        <v>0</v>
      </c>
      <c r="AH22" s="78">
        <v>0</v>
      </c>
      <c r="AI22" s="53">
        <v>0</v>
      </c>
      <c r="AJ22" s="52">
        <f t="shared" ref="AJ22:AJ32" si="31">SUM(R22:Y22)</f>
        <v>225200</v>
      </c>
      <c r="CL22">
        <f t="shared" si="20"/>
        <v>14</v>
      </c>
      <c r="CM22" s="5">
        <f>IF($E$9&gt;=5,1,0)</f>
        <v>1</v>
      </c>
      <c r="CN22" s="31">
        <f t="shared" si="22"/>
        <v>5</v>
      </c>
      <c r="CO22" s="32">
        <f t="shared" si="15"/>
        <v>400000</v>
      </c>
      <c r="CP22" s="33">
        <f t="shared" si="16"/>
        <v>120000</v>
      </c>
      <c r="CQ22" s="31">
        <f t="shared" si="21"/>
        <v>15</v>
      </c>
      <c r="CR22" s="34">
        <f>CO22+CR21</f>
        <v>800000</v>
      </c>
      <c r="CS22" s="41"/>
      <c r="CT22" s="33"/>
      <c r="CU22" s="41">
        <f>VLOOKUP(CQ22,REF!$M$16:$N$18,2,1)</f>
        <v>0.15</v>
      </c>
      <c r="CV22" s="43"/>
      <c r="CW22" s="41">
        <f>VLOOKUP(SUM($CP$9:$CP$20),REF!$O$2:$P$5,2,1)*IF(AND(SUM('Advisor-Leader'!$CN$9:$CN$20)&gt;=24,'Advisor-Leader'!$E$9&gt;=7),1,0)</f>
        <v>1.2</v>
      </c>
      <c r="CX22" s="43"/>
      <c r="CY22" s="45">
        <f t="shared" si="28"/>
        <v>80000</v>
      </c>
      <c r="CZ22" s="44"/>
      <c r="DB22" s="32">
        <f>DB21</f>
        <v>4</v>
      </c>
      <c r="DC22" s="5">
        <f>IF($G$23&gt;=5,1,0)</f>
        <v>1</v>
      </c>
      <c r="DD22" s="32">
        <f t="shared" si="10"/>
        <v>8</v>
      </c>
      <c r="DE22" s="32">
        <f t="shared" si="17"/>
        <v>560000</v>
      </c>
      <c r="DF22" s="32">
        <f t="shared" si="24"/>
        <v>168000</v>
      </c>
      <c r="DG22" s="40">
        <f t="shared" si="18"/>
        <v>0.15</v>
      </c>
      <c r="DH22" s="34">
        <f t="shared" si="19"/>
        <v>25200</v>
      </c>
      <c r="DI22" s="34">
        <f t="shared" ref="DI22:DI68" si="32">DF22*0.15</f>
        <v>25200</v>
      </c>
      <c r="DJ22" t="str">
        <f t="shared" ref="DJ22:DJ32" si="33">IF(DB22&gt;=2,"U2","C1")</f>
        <v>U2</v>
      </c>
    </row>
    <row r="23" spans="2:114" x14ac:dyDescent="0.3">
      <c r="B23" s="81" t="s">
        <v>25</v>
      </c>
      <c r="C23" s="81"/>
      <c r="D23" s="81"/>
      <c r="E23" s="81"/>
      <c r="F23" s="81"/>
      <c r="G23" s="48">
        <v>8</v>
      </c>
      <c r="H23" s="81" t="s">
        <v>26</v>
      </c>
      <c r="I23" s="81"/>
      <c r="J23" s="81"/>
      <c r="K23" s="81"/>
      <c r="O23" s="66" t="s">
        <v>41</v>
      </c>
      <c r="P23" s="50">
        <f t="shared" si="0"/>
        <v>5</v>
      </c>
      <c r="Q23" s="51">
        <f t="shared" si="0"/>
        <v>400000</v>
      </c>
      <c r="R23" s="52">
        <f t="shared" si="0"/>
        <v>120000</v>
      </c>
      <c r="S23" s="52">
        <f t="shared" si="1"/>
        <v>54000</v>
      </c>
      <c r="T23" s="52">
        <f t="shared" si="2"/>
        <v>0</v>
      </c>
      <c r="U23" s="52">
        <f t="shared" si="3"/>
        <v>0</v>
      </c>
      <c r="V23" s="51">
        <f t="shared" si="3"/>
        <v>80000</v>
      </c>
      <c r="W23" s="53">
        <f t="shared" si="3"/>
        <v>96000</v>
      </c>
      <c r="X23" s="53">
        <f t="shared" si="29"/>
        <v>0</v>
      </c>
      <c r="Y23" s="53">
        <f t="shared" si="30"/>
        <v>37800</v>
      </c>
      <c r="Z23" s="53">
        <f t="shared" si="14"/>
        <v>6</v>
      </c>
      <c r="AA23" s="53">
        <f>E$13</f>
        <v>2</v>
      </c>
      <c r="AB23" s="78">
        <f t="shared" si="4"/>
        <v>3</v>
      </c>
      <c r="AC23" s="78">
        <f t="shared" si="26"/>
        <v>6</v>
      </c>
      <c r="AD23" s="78">
        <f t="shared" si="25"/>
        <v>420000</v>
      </c>
      <c r="AE23" s="78">
        <f t="shared" si="7"/>
        <v>126000</v>
      </c>
      <c r="AF23" s="53">
        <f t="shared" si="27"/>
        <v>0</v>
      </c>
      <c r="AG23" s="78">
        <f t="shared" si="8"/>
        <v>0</v>
      </c>
      <c r="AH23" s="78">
        <f>IF(DJ23="U1",SUM(AE21:AE23)*0.32,0)</f>
        <v>0</v>
      </c>
      <c r="AI23" s="53">
        <f>IF(SUM(AD21:AD23)&gt;=1200000,VLOOKUP(AVERAGE(AB21:AB23),REF!$U$15:$V$19,2,1),0)*SUM(AE21:AE23)*IF(DJ23="U1",1,0)</f>
        <v>0</v>
      </c>
      <c r="AJ23" s="52">
        <f t="shared" si="31"/>
        <v>387800</v>
      </c>
      <c r="CL23">
        <f t="shared" si="20"/>
        <v>15</v>
      </c>
      <c r="CM23" s="5">
        <v>1</v>
      </c>
      <c r="CN23" s="31">
        <f t="shared" si="22"/>
        <v>5</v>
      </c>
      <c r="CO23" s="32">
        <f t="shared" si="15"/>
        <v>400000</v>
      </c>
      <c r="CP23" s="33">
        <f t="shared" si="16"/>
        <v>120000</v>
      </c>
      <c r="CQ23" s="31">
        <f t="shared" si="21"/>
        <v>15</v>
      </c>
      <c r="CR23" s="34">
        <f>CO23+CR22</f>
        <v>1200000</v>
      </c>
      <c r="CS23" s="41">
        <f>VLOOKUP(CR23,REF!$G$4:$H$10,2,1)</f>
        <v>0.15</v>
      </c>
      <c r="CT23" s="33">
        <f>CS23*SUM(CP21:CP23)</f>
        <v>54000</v>
      </c>
      <c r="CU23" s="41">
        <f>VLOOKUP(CQ23,REF!$M$16:$N$18,2,1)</f>
        <v>0.15</v>
      </c>
      <c r="CV23" s="43"/>
      <c r="CW23" s="41">
        <f>VLOOKUP(SUM($CP$9:$CP$20),REF!$O$2:$P$5,2,1)*IF(AND(SUM('Advisor-Leader'!$CN$9:$CN$20)&gt;=24,'Advisor-Leader'!$E$9&gt;=7),1,0)</f>
        <v>1.2</v>
      </c>
      <c r="CX23" s="43"/>
      <c r="CY23" s="45">
        <f t="shared" si="28"/>
        <v>80000</v>
      </c>
      <c r="CZ23" s="43">
        <f>SUM(CY21:CY23)*0.4</f>
        <v>96000</v>
      </c>
      <c r="DB23" s="32">
        <f>DB22+E13</f>
        <v>6</v>
      </c>
      <c r="DC23" s="5">
        <v>1</v>
      </c>
      <c r="DD23" s="32">
        <f t="shared" si="10"/>
        <v>12</v>
      </c>
      <c r="DE23" s="32">
        <f t="shared" si="17"/>
        <v>840000</v>
      </c>
      <c r="DF23" s="32">
        <f t="shared" si="24"/>
        <v>252000</v>
      </c>
      <c r="DG23" s="40">
        <f t="shared" si="18"/>
        <v>0.15</v>
      </c>
      <c r="DH23" s="34">
        <f t="shared" si="19"/>
        <v>37800</v>
      </c>
      <c r="DI23" s="34">
        <f t="shared" si="32"/>
        <v>37800</v>
      </c>
      <c r="DJ23" t="str">
        <f t="shared" si="33"/>
        <v>U2</v>
      </c>
    </row>
    <row r="24" spans="2:114" x14ac:dyDescent="0.3">
      <c r="B24" s="81"/>
      <c r="C24" s="81"/>
      <c r="D24" s="81"/>
      <c r="E24" s="81"/>
      <c r="F24" s="81"/>
      <c r="G24" s="81"/>
      <c r="H24" s="81"/>
      <c r="I24" s="81"/>
      <c r="J24" s="81"/>
      <c r="K24" s="81"/>
      <c r="O24" s="66" t="s">
        <v>42</v>
      </c>
      <c r="P24" s="50">
        <f t="shared" si="0"/>
        <v>5</v>
      </c>
      <c r="Q24" s="51">
        <f t="shared" si="0"/>
        <v>400000</v>
      </c>
      <c r="R24" s="52">
        <f t="shared" si="0"/>
        <v>120000</v>
      </c>
      <c r="S24" s="52">
        <f t="shared" si="1"/>
        <v>0</v>
      </c>
      <c r="T24" s="52">
        <f t="shared" si="2"/>
        <v>0</v>
      </c>
      <c r="U24" s="52">
        <f t="shared" si="3"/>
        <v>0</v>
      </c>
      <c r="V24" s="51">
        <f t="shared" si="3"/>
        <v>80000</v>
      </c>
      <c r="W24" s="53">
        <f t="shared" si="3"/>
        <v>0</v>
      </c>
      <c r="X24" s="53">
        <f t="shared" si="29"/>
        <v>0</v>
      </c>
      <c r="Y24" s="53">
        <f t="shared" si="30"/>
        <v>0</v>
      </c>
      <c r="Z24" s="53">
        <f t="shared" si="14"/>
        <v>6</v>
      </c>
      <c r="AA24" s="53">
        <v>0</v>
      </c>
      <c r="AB24" s="78">
        <f t="shared" si="4"/>
        <v>3</v>
      </c>
      <c r="AC24" s="78">
        <f t="shared" si="26"/>
        <v>6</v>
      </c>
      <c r="AD24" s="78">
        <f t="shared" si="25"/>
        <v>420000</v>
      </c>
      <c r="AE24" s="78">
        <f t="shared" si="7"/>
        <v>126000</v>
      </c>
      <c r="AF24" s="53">
        <f t="shared" si="27"/>
        <v>0</v>
      </c>
      <c r="AG24" s="78">
        <f t="shared" si="8"/>
        <v>0</v>
      </c>
      <c r="AH24" s="78">
        <v>0</v>
      </c>
      <c r="AI24" s="53">
        <v>0</v>
      </c>
      <c r="AJ24" s="52">
        <f t="shared" si="31"/>
        <v>200000</v>
      </c>
      <c r="CL24">
        <f t="shared" si="20"/>
        <v>16</v>
      </c>
      <c r="CM24" s="5">
        <f>IF($E$9=12,1,0)</f>
        <v>1</v>
      </c>
      <c r="CN24" s="31">
        <f t="shared" si="22"/>
        <v>5</v>
      </c>
      <c r="CO24" s="32">
        <f t="shared" si="15"/>
        <v>400000</v>
      </c>
      <c r="CP24" s="33">
        <f t="shared" si="16"/>
        <v>120000</v>
      </c>
      <c r="CQ24" s="31">
        <f t="shared" si="21"/>
        <v>15</v>
      </c>
      <c r="CR24" s="34">
        <f>CO24</f>
        <v>400000</v>
      </c>
      <c r="CS24" s="41"/>
      <c r="CT24" s="33"/>
      <c r="CU24" s="41">
        <f>VLOOKUP(CQ24,REF!$M$16:$N$18,2,1)</f>
        <v>0.15</v>
      </c>
      <c r="CV24" s="43"/>
      <c r="CW24" s="41">
        <f>VLOOKUP(SUM($CP$9:$CP$20),REF!$O$2:$P$5,2,1)*IF(AND(SUM('Advisor-Leader'!$CN$9:$CN$20)&gt;=24,'Advisor-Leader'!$E$9&gt;=7),1,0)</f>
        <v>1.2</v>
      </c>
      <c r="CX24" s="43"/>
      <c r="CY24" s="45">
        <f t="shared" si="28"/>
        <v>80000</v>
      </c>
      <c r="CZ24" s="44"/>
      <c r="DB24" s="32">
        <f>DB23</f>
        <v>6</v>
      </c>
      <c r="DC24" s="5">
        <f>IF($G$23=12,1,0)</f>
        <v>0</v>
      </c>
      <c r="DD24" s="32">
        <f t="shared" si="10"/>
        <v>0</v>
      </c>
      <c r="DE24" s="32">
        <f t="shared" si="17"/>
        <v>0</v>
      </c>
      <c r="DF24" s="32">
        <f t="shared" si="24"/>
        <v>0</v>
      </c>
      <c r="DG24" s="40">
        <f t="shared" si="18"/>
        <v>0.15</v>
      </c>
      <c r="DH24" s="34">
        <f t="shared" si="19"/>
        <v>0</v>
      </c>
      <c r="DI24" s="34">
        <f t="shared" si="32"/>
        <v>0</v>
      </c>
      <c r="DJ24" t="str">
        <f t="shared" si="33"/>
        <v>U2</v>
      </c>
    </row>
    <row r="25" spans="2:114" x14ac:dyDescent="0.3">
      <c r="B25" s="81"/>
      <c r="C25" s="81"/>
      <c r="D25" s="81"/>
      <c r="E25" s="81"/>
      <c r="F25" s="81"/>
      <c r="G25" s="81"/>
      <c r="H25" s="81"/>
      <c r="I25" s="81"/>
      <c r="J25" s="81"/>
      <c r="K25" s="81"/>
      <c r="O25" s="66" t="s">
        <v>43</v>
      </c>
      <c r="P25" s="50">
        <f t="shared" si="0"/>
        <v>5</v>
      </c>
      <c r="Q25" s="51">
        <f t="shared" si="0"/>
        <v>400000</v>
      </c>
      <c r="R25" s="52">
        <f t="shared" si="0"/>
        <v>120000</v>
      </c>
      <c r="S25" s="52">
        <f t="shared" si="1"/>
        <v>0</v>
      </c>
      <c r="T25" s="52">
        <f t="shared" si="2"/>
        <v>0</v>
      </c>
      <c r="U25" s="52">
        <f t="shared" si="3"/>
        <v>0</v>
      </c>
      <c r="V25" s="51">
        <f t="shared" si="3"/>
        <v>80000</v>
      </c>
      <c r="W25" s="53">
        <f t="shared" si="3"/>
        <v>0</v>
      </c>
      <c r="X25" s="53">
        <f t="shared" si="29"/>
        <v>0</v>
      </c>
      <c r="Y25" s="53">
        <f t="shared" si="30"/>
        <v>0</v>
      </c>
      <c r="Z25" s="53">
        <f t="shared" si="14"/>
        <v>6</v>
      </c>
      <c r="AA25" s="53">
        <v>0</v>
      </c>
      <c r="AB25" s="53">
        <f>ROUND(Z25*$G$27,0)</f>
        <v>3</v>
      </c>
      <c r="AC25" s="53">
        <f>AB25*$G$28</f>
        <v>6</v>
      </c>
      <c r="AD25" s="53">
        <f t="shared" si="25"/>
        <v>420000</v>
      </c>
      <c r="AE25" s="53">
        <f>AD25*0.3</f>
        <v>126000</v>
      </c>
      <c r="AF25" s="53">
        <f t="shared" si="27"/>
        <v>0</v>
      </c>
      <c r="AG25" s="78">
        <f t="shared" si="8"/>
        <v>0</v>
      </c>
      <c r="AH25" s="78">
        <v>0</v>
      </c>
      <c r="AI25" s="53">
        <v>0</v>
      </c>
      <c r="AJ25" s="52">
        <f t="shared" si="31"/>
        <v>200000</v>
      </c>
      <c r="CL25">
        <f t="shared" si="20"/>
        <v>17</v>
      </c>
      <c r="CM25" s="5">
        <f>IF($E$9&gt;=10,1,0)</f>
        <v>1</v>
      </c>
      <c r="CN25" s="31">
        <f t="shared" si="22"/>
        <v>5</v>
      </c>
      <c r="CO25" s="32">
        <f t="shared" si="15"/>
        <v>400000</v>
      </c>
      <c r="CP25" s="33">
        <f t="shared" si="16"/>
        <v>120000</v>
      </c>
      <c r="CQ25" s="31">
        <f t="shared" si="21"/>
        <v>15</v>
      </c>
      <c r="CR25" s="34">
        <f>CO25+CR24</f>
        <v>800000</v>
      </c>
      <c r="CS25" s="41"/>
      <c r="CT25" s="33"/>
      <c r="CU25" s="41">
        <f>VLOOKUP(CQ25,REF!$M$16:$N$18,2,1)</f>
        <v>0.15</v>
      </c>
      <c r="CV25" s="43"/>
      <c r="CW25" s="41">
        <f>VLOOKUP(SUM($CP$9:$CP$20),REF!$O$2:$P$5,2,1)*IF(AND(SUM('Advisor-Leader'!$CN$9:$CN$20)&gt;=24,'Advisor-Leader'!$E$9&gt;=7),1,0)</f>
        <v>1.2</v>
      </c>
      <c r="CX25" s="43"/>
      <c r="CY25" s="45">
        <f t="shared" si="28"/>
        <v>80000</v>
      </c>
      <c r="CZ25" s="44"/>
      <c r="DB25" s="32">
        <f>DB24</f>
        <v>6</v>
      </c>
      <c r="DC25" s="5">
        <f>IF($G$23&gt;=10,1,0)</f>
        <v>0</v>
      </c>
      <c r="DD25" s="32">
        <f t="shared" si="10"/>
        <v>0</v>
      </c>
      <c r="DE25" s="32">
        <f t="shared" si="17"/>
        <v>0</v>
      </c>
      <c r="DF25" s="32">
        <f t="shared" si="24"/>
        <v>0</v>
      </c>
      <c r="DG25" s="40">
        <f t="shared" si="18"/>
        <v>0.15</v>
      </c>
      <c r="DH25" s="34">
        <f t="shared" si="19"/>
        <v>0</v>
      </c>
      <c r="DI25" s="34">
        <f t="shared" si="32"/>
        <v>0</v>
      </c>
      <c r="DJ25" t="str">
        <f t="shared" si="33"/>
        <v>U2</v>
      </c>
    </row>
    <row r="26" spans="2:114" x14ac:dyDescent="0.3">
      <c r="B26" s="85" t="s">
        <v>178</v>
      </c>
      <c r="C26" s="81"/>
      <c r="D26" s="81"/>
      <c r="E26" s="81"/>
      <c r="F26" s="81"/>
      <c r="G26" s="81"/>
      <c r="H26" s="81"/>
      <c r="I26" s="81"/>
      <c r="J26" s="81"/>
      <c r="K26" s="81"/>
      <c r="O26" s="66" t="s">
        <v>44</v>
      </c>
      <c r="P26" s="50">
        <f t="shared" si="0"/>
        <v>5</v>
      </c>
      <c r="Q26" s="51">
        <f t="shared" si="0"/>
        <v>400000</v>
      </c>
      <c r="R26" s="52">
        <f t="shared" si="0"/>
        <v>120000</v>
      </c>
      <c r="S26" s="52">
        <f t="shared" si="1"/>
        <v>54000</v>
      </c>
      <c r="T26" s="52">
        <f t="shared" si="2"/>
        <v>0</v>
      </c>
      <c r="U26" s="52">
        <f t="shared" si="3"/>
        <v>0</v>
      </c>
      <c r="V26" s="51">
        <f t="shared" si="3"/>
        <v>80000</v>
      </c>
      <c r="W26" s="53">
        <f t="shared" si="3"/>
        <v>96000</v>
      </c>
      <c r="X26" s="53">
        <f t="shared" si="29"/>
        <v>0</v>
      </c>
      <c r="Y26" s="53">
        <f t="shared" si="30"/>
        <v>37800</v>
      </c>
      <c r="Z26" s="53">
        <f t="shared" si="14"/>
        <v>6</v>
      </c>
      <c r="AA26" s="53">
        <f>E$14</f>
        <v>0</v>
      </c>
      <c r="AB26" s="53">
        <f t="shared" ref="AB26:AB68" si="34">ROUND(Z26*$G$27,0)</f>
        <v>3</v>
      </c>
      <c r="AC26" s="53">
        <f t="shared" ref="AC26:AC68" si="35">AB26*$G$28</f>
        <v>6</v>
      </c>
      <c r="AD26" s="53">
        <f t="shared" si="25"/>
        <v>420000</v>
      </c>
      <c r="AE26" s="53">
        <f t="shared" ref="AE26:AE68" si="36">AD26*0.3</f>
        <v>126000</v>
      </c>
      <c r="AF26" s="53">
        <f t="shared" si="27"/>
        <v>0</v>
      </c>
      <c r="AG26" s="78">
        <f t="shared" si="8"/>
        <v>0</v>
      </c>
      <c r="AH26" s="78">
        <f>IF(DJ26="U1",SUM(AE24:AE26)*0.32,0)</f>
        <v>0</v>
      </c>
      <c r="AI26" s="53">
        <f>IF(SUM(AD24:AD26)&gt;=1200000,VLOOKUP(AVERAGE(AB24:AB26),REF!$U$15:$V$19,2,1),0)*SUM(AE24:AE26)*IF(DJ26="U1",1,0)</f>
        <v>0</v>
      </c>
      <c r="AJ26" s="52">
        <f t="shared" si="31"/>
        <v>387800</v>
      </c>
      <c r="CL26">
        <f t="shared" si="20"/>
        <v>18</v>
      </c>
      <c r="CM26" s="5">
        <v>1</v>
      </c>
      <c r="CN26" s="31">
        <f t="shared" si="22"/>
        <v>5</v>
      </c>
      <c r="CO26" s="32">
        <f t="shared" si="15"/>
        <v>400000</v>
      </c>
      <c r="CP26" s="33">
        <f t="shared" si="16"/>
        <v>120000</v>
      </c>
      <c r="CQ26" s="31">
        <f t="shared" si="21"/>
        <v>15</v>
      </c>
      <c r="CR26" s="34">
        <f>CO26+CR25</f>
        <v>1200000</v>
      </c>
      <c r="CS26" s="41">
        <f>VLOOKUP(CR26,REF!$G$4:$H$10,2,1)</f>
        <v>0.15</v>
      </c>
      <c r="CT26" s="33">
        <f>CS26*SUM(CP24:CP26)</f>
        <v>54000</v>
      </c>
      <c r="CU26" s="41">
        <f>VLOOKUP(CQ26,REF!$M$16:$N$18,2,1)</f>
        <v>0.15</v>
      </c>
      <c r="CV26" s="43"/>
      <c r="CW26" s="41">
        <f>VLOOKUP(SUM($CP$9:$CP$20),REF!$O$2:$P$5,2,1)*IF(AND(SUM('Advisor-Leader'!$CN$9:$CN$20)&gt;=24,'Advisor-Leader'!$E$9&gt;=7),1,0)</f>
        <v>1.2</v>
      </c>
      <c r="CX26" s="43"/>
      <c r="CY26" s="45">
        <f t="shared" si="28"/>
        <v>80000</v>
      </c>
      <c r="CZ26" s="43">
        <f>SUM(CY24:CY26)*0.4</f>
        <v>96000</v>
      </c>
      <c r="DB26" s="32">
        <f>DB25+E14</f>
        <v>6</v>
      </c>
      <c r="DC26" s="5">
        <v>1</v>
      </c>
      <c r="DD26" s="32">
        <f t="shared" si="10"/>
        <v>12</v>
      </c>
      <c r="DE26" s="32">
        <f t="shared" si="17"/>
        <v>840000</v>
      </c>
      <c r="DF26" s="32">
        <f t="shared" si="24"/>
        <v>252000</v>
      </c>
      <c r="DG26" s="40">
        <f t="shared" si="18"/>
        <v>0.15</v>
      </c>
      <c r="DH26" s="34">
        <f t="shared" si="19"/>
        <v>37800</v>
      </c>
      <c r="DI26" s="34">
        <f t="shared" si="32"/>
        <v>37800</v>
      </c>
      <c r="DJ26" t="str">
        <f t="shared" si="33"/>
        <v>U2</v>
      </c>
    </row>
    <row r="27" spans="2:114" x14ac:dyDescent="0.3">
      <c r="B27" s="81" t="s">
        <v>123</v>
      </c>
      <c r="C27" s="81"/>
      <c r="D27" s="81"/>
      <c r="E27" s="81"/>
      <c r="F27" s="81"/>
      <c r="G27" s="60">
        <v>0.5</v>
      </c>
      <c r="H27" s="81"/>
      <c r="I27" s="81"/>
      <c r="J27" s="81"/>
      <c r="K27" s="81"/>
      <c r="O27" s="66" t="s">
        <v>45</v>
      </c>
      <c r="P27" s="50">
        <f t="shared" si="0"/>
        <v>5</v>
      </c>
      <c r="Q27" s="51">
        <f t="shared" si="0"/>
        <v>400000</v>
      </c>
      <c r="R27" s="52">
        <f t="shared" si="0"/>
        <v>120000</v>
      </c>
      <c r="S27" s="52">
        <f t="shared" si="1"/>
        <v>0</v>
      </c>
      <c r="T27" s="52">
        <f t="shared" si="2"/>
        <v>0</v>
      </c>
      <c r="U27" s="52">
        <f t="shared" si="3"/>
        <v>0</v>
      </c>
      <c r="V27" s="51">
        <f t="shared" si="3"/>
        <v>80000</v>
      </c>
      <c r="W27" s="53">
        <f t="shared" si="3"/>
        <v>0</v>
      </c>
      <c r="X27" s="53">
        <f t="shared" si="29"/>
        <v>0</v>
      </c>
      <c r="Y27" s="53">
        <f t="shared" si="30"/>
        <v>0</v>
      </c>
      <c r="Z27" s="53">
        <f t="shared" si="14"/>
        <v>6</v>
      </c>
      <c r="AA27" s="53">
        <v>0</v>
      </c>
      <c r="AB27" s="53">
        <f t="shared" si="34"/>
        <v>3</v>
      </c>
      <c r="AC27" s="53">
        <f t="shared" si="35"/>
        <v>6</v>
      </c>
      <c r="AD27" s="53">
        <f t="shared" si="25"/>
        <v>420000</v>
      </c>
      <c r="AE27" s="53">
        <f t="shared" si="36"/>
        <v>126000</v>
      </c>
      <c r="AF27" s="53">
        <f t="shared" si="27"/>
        <v>0</v>
      </c>
      <c r="AG27" s="78">
        <f t="shared" si="8"/>
        <v>0</v>
      </c>
      <c r="AH27" s="78">
        <v>0</v>
      </c>
      <c r="AI27" s="53">
        <v>0</v>
      </c>
      <c r="AJ27" s="52">
        <f t="shared" si="31"/>
        <v>200000</v>
      </c>
      <c r="CL27">
        <f t="shared" si="20"/>
        <v>19</v>
      </c>
      <c r="CM27" s="5">
        <f>IF($E$9&gt;=11,1,0)</f>
        <v>1</v>
      </c>
      <c r="CN27" s="31">
        <f t="shared" si="22"/>
        <v>5</v>
      </c>
      <c r="CO27" s="32">
        <f t="shared" si="15"/>
        <v>400000</v>
      </c>
      <c r="CP27" s="33">
        <f t="shared" si="16"/>
        <v>120000</v>
      </c>
      <c r="CQ27" s="31">
        <f t="shared" si="21"/>
        <v>15</v>
      </c>
      <c r="CR27" s="34">
        <f>CO27</f>
        <v>400000</v>
      </c>
      <c r="CS27" s="41"/>
      <c r="CT27" s="33"/>
      <c r="CU27" s="41">
        <f>VLOOKUP(CQ27,REF!$M$16:$N$18,2,1)</f>
        <v>0.15</v>
      </c>
      <c r="CV27" s="43"/>
      <c r="CW27" s="41">
        <f>VLOOKUP(SUM($CP$9:$CP$20),REF!$O$2:$P$5,2,1)*IF(AND(SUM('Advisor-Leader'!$CN$9:$CN$20)&gt;=24,'Advisor-Leader'!$E$9&gt;=7),1,0)</f>
        <v>1.2</v>
      </c>
      <c r="CX27" s="43"/>
      <c r="CY27" s="45">
        <f t="shared" si="28"/>
        <v>80000</v>
      </c>
      <c r="CZ27" s="44"/>
      <c r="DB27" s="32">
        <f>DB26</f>
        <v>6</v>
      </c>
      <c r="DC27" s="5">
        <f>IF($G$23&gt;=11,1,0)</f>
        <v>0</v>
      </c>
      <c r="DD27" s="32">
        <f t="shared" si="10"/>
        <v>0</v>
      </c>
      <c r="DE27" s="32">
        <f t="shared" si="17"/>
        <v>0</v>
      </c>
      <c r="DF27" s="32">
        <f t="shared" si="24"/>
        <v>0</v>
      </c>
      <c r="DG27" s="40">
        <f t="shared" si="12"/>
        <v>0.15</v>
      </c>
      <c r="DH27" s="34">
        <f t="shared" si="19"/>
        <v>0</v>
      </c>
      <c r="DI27" s="34">
        <f t="shared" si="32"/>
        <v>0</v>
      </c>
      <c r="DJ27" t="str">
        <f t="shared" si="33"/>
        <v>U2</v>
      </c>
    </row>
    <row r="28" spans="2:114" x14ac:dyDescent="0.3">
      <c r="B28" s="81" t="s">
        <v>124</v>
      </c>
      <c r="C28" s="81"/>
      <c r="D28" s="81"/>
      <c r="E28" s="81"/>
      <c r="F28" s="81"/>
      <c r="G28" s="47">
        <v>2</v>
      </c>
      <c r="H28" s="81"/>
      <c r="I28" s="81"/>
      <c r="J28" s="81"/>
      <c r="K28" s="81"/>
      <c r="O28" s="66" t="s">
        <v>46</v>
      </c>
      <c r="P28" s="50">
        <f t="shared" si="0"/>
        <v>5</v>
      </c>
      <c r="Q28" s="51">
        <f t="shared" si="0"/>
        <v>400000</v>
      </c>
      <c r="R28" s="52">
        <f t="shared" si="0"/>
        <v>120000</v>
      </c>
      <c r="S28" s="52">
        <f t="shared" si="1"/>
        <v>0</v>
      </c>
      <c r="T28" s="52">
        <f t="shared" si="2"/>
        <v>0</v>
      </c>
      <c r="U28" s="52">
        <f t="shared" si="3"/>
        <v>0</v>
      </c>
      <c r="V28" s="51">
        <f t="shared" si="3"/>
        <v>80000</v>
      </c>
      <c r="W28" s="53">
        <f t="shared" si="3"/>
        <v>0</v>
      </c>
      <c r="X28" s="53">
        <f t="shared" si="29"/>
        <v>0</v>
      </c>
      <c r="Y28" s="53">
        <f t="shared" si="30"/>
        <v>0</v>
      </c>
      <c r="Z28" s="53">
        <f t="shared" si="14"/>
        <v>6</v>
      </c>
      <c r="AA28" s="53">
        <v>0</v>
      </c>
      <c r="AB28" s="53">
        <f t="shared" si="34"/>
        <v>3</v>
      </c>
      <c r="AC28" s="53">
        <f t="shared" si="35"/>
        <v>6</v>
      </c>
      <c r="AD28" s="53">
        <f t="shared" si="25"/>
        <v>420000</v>
      </c>
      <c r="AE28" s="53">
        <f t="shared" si="36"/>
        <v>126000</v>
      </c>
      <c r="AF28" s="53">
        <f t="shared" si="27"/>
        <v>0</v>
      </c>
      <c r="AG28" s="78">
        <f t="shared" si="8"/>
        <v>0</v>
      </c>
      <c r="AH28" s="78">
        <v>0</v>
      </c>
      <c r="AI28" s="53">
        <v>0</v>
      </c>
      <c r="AJ28" s="52">
        <f t="shared" si="31"/>
        <v>200000</v>
      </c>
      <c r="CL28">
        <f t="shared" si="20"/>
        <v>20</v>
      </c>
      <c r="CM28" s="5">
        <f>IF($E$9&gt;=9,1,0)</f>
        <v>1</v>
      </c>
      <c r="CN28" s="31">
        <f t="shared" si="22"/>
        <v>5</v>
      </c>
      <c r="CO28" s="32">
        <f t="shared" si="15"/>
        <v>400000</v>
      </c>
      <c r="CP28" s="33">
        <f t="shared" si="16"/>
        <v>120000</v>
      </c>
      <c r="CQ28" s="31">
        <f t="shared" si="21"/>
        <v>15</v>
      </c>
      <c r="CR28" s="34">
        <f>CO28+CR27</f>
        <v>800000</v>
      </c>
      <c r="CS28" s="41"/>
      <c r="CT28" s="33"/>
      <c r="CU28" s="41">
        <f>VLOOKUP(CQ28,REF!$M$16:$N$18,2,1)</f>
        <v>0.15</v>
      </c>
      <c r="CV28" s="43"/>
      <c r="CW28" s="41">
        <f>VLOOKUP(SUM($CP$9:$CP$20),REF!$O$2:$P$5,2,1)*IF(AND(SUM('Advisor-Leader'!$CN$9:$CN$20)&gt;=24,'Advisor-Leader'!$E$9&gt;=7),1,0)</f>
        <v>1.2</v>
      </c>
      <c r="CX28" s="43"/>
      <c r="CY28" s="45">
        <f t="shared" si="28"/>
        <v>80000</v>
      </c>
      <c r="CZ28" s="44"/>
      <c r="DB28" s="32">
        <f>DB27</f>
        <v>6</v>
      </c>
      <c r="DC28" s="5">
        <f>IF($G$23&gt;=9,1,0)</f>
        <v>0</v>
      </c>
      <c r="DD28" s="32">
        <f t="shared" si="10"/>
        <v>0</v>
      </c>
      <c r="DE28" s="32">
        <f t="shared" si="17"/>
        <v>0</v>
      </c>
      <c r="DF28" s="32">
        <f t="shared" si="24"/>
        <v>0</v>
      </c>
      <c r="DG28" s="40">
        <f t="shared" si="12"/>
        <v>0.15</v>
      </c>
      <c r="DH28" s="34">
        <f t="shared" si="19"/>
        <v>0</v>
      </c>
      <c r="DI28" s="34">
        <f t="shared" si="32"/>
        <v>0</v>
      </c>
      <c r="DJ28" t="str">
        <f t="shared" si="33"/>
        <v>U2</v>
      </c>
    </row>
    <row r="29" spans="2:114" x14ac:dyDescent="0.3">
      <c r="B29" s="81" t="s">
        <v>121</v>
      </c>
      <c r="C29" s="81"/>
      <c r="D29" s="81"/>
      <c r="E29" s="81"/>
      <c r="F29" s="81"/>
      <c r="G29" s="48">
        <v>70000</v>
      </c>
      <c r="H29" s="81"/>
      <c r="I29" s="81"/>
      <c r="J29" s="81"/>
      <c r="K29" s="81"/>
      <c r="O29" s="66" t="s">
        <v>47</v>
      </c>
      <c r="P29" s="50">
        <f t="shared" si="0"/>
        <v>5</v>
      </c>
      <c r="Q29" s="51">
        <f t="shared" si="0"/>
        <v>400000</v>
      </c>
      <c r="R29" s="52">
        <f t="shared" si="0"/>
        <v>120000</v>
      </c>
      <c r="S29" s="52">
        <f t="shared" si="1"/>
        <v>54000</v>
      </c>
      <c r="T29" s="52">
        <f t="shared" si="2"/>
        <v>0</v>
      </c>
      <c r="U29" s="52">
        <f t="shared" si="3"/>
        <v>0</v>
      </c>
      <c r="V29" s="51">
        <f t="shared" si="3"/>
        <v>80000</v>
      </c>
      <c r="W29" s="53">
        <f t="shared" si="3"/>
        <v>96000</v>
      </c>
      <c r="X29" s="53">
        <f t="shared" si="29"/>
        <v>0</v>
      </c>
      <c r="Y29" s="53">
        <f t="shared" si="30"/>
        <v>50400</v>
      </c>
      <c r="Z29" s="53">
        <f t="shared" si="14"/>
        <v>8</v>
      </c>
      <c r="AA29" s="53">
        <f>E$15</f>
        <v>2</v>
      </c>
      <c r="AB29" s="53">
        <f t="shared" si="34"/>
        <v>4</v>
      </c>
      <c r="AC29" s="53">
        <f t="shared" si="35"/>
        <v>8</v>
      </c>
      <c r="AD29" s="53">
        <f t="shared" ref="AD29:AD68" si="37">AC29*$G$29</f>
        <v>560000</v>
      </c>
      <c r="AE29" s="53">
        <f t="shared" si="36"/>
        <v>168000</v>
      </c>
      <c r="AF29" s="53">
        <f t="shared" si="27"/>
        <v>28000</v>
      </c>
      <c r="AG29" s="78">
        <f t="shared" si="8"/>
        <v>0</v>
      </c>
      <c r="AH29" s="78">
        <f>IF(DJ29="U1",SUM(AE27:AE29)*0.32,0)</f>
        <v>0</v>
      </c>
      <c r="AI29" s="53">
        <f>IF(SUM(AD27:AD29)&gt;=1200000,VLOOKUP(AVERAGE(AB27:AB29),REF!$U$15:$V$19,2,1),0)*SUM(AE27:AE29)*IF(DJ29="U1",1,0)</f>
        <v>0</v>
      </c>
      <c r="AJ29" s="52">
        <f t="shared" si="31"/>
        <v>400400</v>
      </c>
      <c r="CL29">
        <f t="shared" si="20"/>
        <v>21</v>
      </c>
      <c r="CM29" s="5">
        <v>1</v>
      </c>
      <c r="CN29" s="31">
        <f t="shared" si="22"/>
        <v>5</v>
      </c>
      <c r="CO29" s="32">
        <f t="shared" si="15"/>
        <v>400000</v>
      </c>
      <c r="CP29" s="33">
        <f t="shared" si="16"/>
        <v>120000</v>
      </c>
      <c r="CQ29" s="31">
        <f t="shared" si="21"/>
        <v>15</v>
      </c>
      <c r="CR29" s="34">
        <f>CO29+CR28</f>
        <v>1200000</v>
      </c>
      <c r="CS29" s="41">
        <f>VLOOKUP(CR29,REF!$G$4:$H$10,2,1)</f>
        <v>0.15</v>
      </c>
      <c r="CT29" s="33">
        <f>CS29*SUM(CP27:CP29)</f>
        <v>54000</v>
      </c>
      <c r="CU29" s="41">
        <f>VLOOKUP(CQ29,REF!$M$16:$N$18,2,1)</f>
        <v>0.15</v>
      </c>
      <c r="CV29" s="43"/>
      <c r="CW29" s="41">
        <f>VLOOKUP(SUM($CP$9:$CP$20),REF!$O$2:$P$5,2,1)*IF(AND(SUM('Advisor-Leader'!$CN$9:$CN$20)&gt;=24,'Advisor-Leader'!$E$9&gt;=7),1,0)</f>
        <v>1.2</v>
      </c>
      <c r="CX29" s="43"/>
      <c r="CY29" s="45">
        <f t="shared" si="28"/>
        <v>80000</v>
      </c>
      <c r="CZ29" s="43">
        <f>SUM(CY27:CY29)*0.4</f>
        <v>96000</v>
      </c>
      <c r="DB29" s="32">
        <f>DB28+E15</f>
        <v>8</v>
      </c>
      <c r="DC29" s="5">
        <v>1</v>
      </c>
      <c r="DD29" s="32">
        <f t="shared" si="10"/>
        <v>16</v>
      </c>
      <c r="DE29" s="32">
        <f t="shared" si="17"/>
        <v>1120000</v>
      </c>
      <c r="DF29" s="32">
        <f t="shared" si="24"/>
        <v>336000</v>
      </c>
      <c r="DG29" s="40">
        <f t="shared" si="12"/>
        <v>0.15</v>
      </c>
      <c r="DH29" s="34">
        <f t="shared" si="19"/>
        <v>50400</v>
      </c>
      <c r="DI29" s="34">
        <f t="shared" si="32"/>
        <v>50400</v>
      </c>
      <c r="DJ29" t="str">
        <f t="shared" si="33"/>
        <v>U2</v>
      </c>
    </row>
    <row r="30" spans="2:114" x14ac:dyDescent="0.3">
      <c r="O30" s="66" t="s">
        <v>48</v>
      </c>
      <c r="P30" s="50">
        <f t="shared" si="0"/>
        <v>5</v>
      </c>
      <c r="Q30" s="51">
        <f t="shared" si="0"/>
        <v>400000</v>
      </c>
      <c r="R30" s="52">
        <f t="shared" si="0"/>
        <v>120000</v>
      </c>
      <c r="S30" s="52">
        <f t="shared" si="1"/>
        <v>0</v>
      </c>
      <c r="T30" s="52">
        <f t="shared" si="2"/>
        <v>0</v>
      </c>
      <c r="U30" s="52">
        <f t="shared" si="3"/>
        <v>0</v>
      </c>
      <c r="V30" s="51">
        <f t="shared" si="3"/>
        <v>80000</v>
      </c>
      <c r="W30" s="53">
        <f t="shared" si="3"/>
        <v>0</v>
      </c>
      <c r="X30" s="53">
        <f t="shared" si="29"/>
        <v>0</v>
      </c>
      <c r="Y30" s="53">
        <f t="shared" si="30"/>
        <v>50400</v>
      </c>
      <c r="Z30" s="53">
        <f t="shared" si="14"/>
        <v>8</v>
      </c>
      <c r="AA30" s="53">
        <v>0</v>
      </c>
      <c r="AB30" s="53">
        <f t="shared" si="34"/>
        <v>4</v>
      </c>
      <c r="AC30" s="53">
        <f t="shared" si="35"/>
        <v>8</v>
      </c>
      <c r="AD30" s="53">
        <f t="shared" si="37"/>
        <v>560000</v>
      </c>
      <c r="AE30" s="53">
        <f t="shared" si="36"/>
        <v>168000</v>
      </c>
      <c r="AF30" s="53">
        <f t="shared" si="27"/>
        <v>28000</v>
      </c>
      <c r="AG30" s="78">
        <f t="shared" si="8"/>
        <v>0</v>
      </c>
      <c r="AH30" s="78">
        <v>0</v>
      </c>
      <c r="AI30" s="53">
        <v>0</v>
      </c>
      <c r="AJ30" s="52">
        <f t="shared" si="31"/>
        <v>250400</v>
      </c>
      <c r="CL30">
        <f t="shared" si="20"/>
        <v>22</v>
      </c>
      <c r="CM30" s="5">
        <f>IF($E$9&gt;=8,1,0)</f>
        <v>1</v>
      </c>
      <c r="CN30" s="31">
        <f t="shared" si="22"/>
        <v>5</v>
      </c>
      <c r="CO30" s="32">
        <f t="shared" si="15"/>
        <v>400000</v>
      </c>
      <c r="CP30" s="33">
        <f t="shared" si="16"/>
        <v>120000</v>
      </c>
      <c r="CQ30" s="31">
        <f t="shared" si="21"/>
        <v>15</v>
      </c>
      <c r="CR30" s="34">
        <f>CO30</f>
        <v>400000</v>
      </c>
      <c r="CS30" s="41"/>
      <c r="CT30" s="33"/>
      <c r="CU30" s="41">
        <f>VLOOKUP(CQ30,REF!$M$16:$N$18,2,1)</f>
        <v>0.15</v>
      </c>
      <c r="CV30" s="43"/>
      <c r="CW30" s="41">
        <f>VLOOKUP(SUM($CP$9:$CP$20),REF!$O$2:$P$5,2,1)*IF(AND(SUM('Advisor-Leader'!$CN$9:$CN$20)&gt;=24,'Advisor-Leader'!$E$9&gt;=7),1,0)</f>
        <v>1.2</v>
      </c>
      <c r="CX30" s="43"/>
      <c r="CY30" s="45">
        <f t="shared" si="28"/>
        <v>80000</v>
      </c>
      <c r="CZ30" s="44"/>
      <c r="DB30" s="32">
        <f>DB29</f>
        <v>8</v>
      </c>
      <c r="DC30" s="5">
        <f>IF($G$23&gt;=8,1,0)</f>
        <v>1</v>
      </c>
      <c r="DD30" s="32">
        <f t="shared" si="10"/>
        <v>16</v>
      </c>
      <c r="DE30" s="32">
        <f t="shared" si="17"/>
        <v>1120000</v>
      </c>
      <c r="DF30" s="32">
        <f t="shared" si="24"/>
        <v>336000</v>
      </c>
      <c r="DG30" s="40">
        <f t="shared" si="12"/>
        <v>0.15</v>
      </c>
      <c r="DH30" s="34">
        <f t="shared" si="19"/>
        <v>50400</v>
      </c>
      <c r="DI30" s="34">
        <f t="shared" si="32"/>
        <v>50400</v>
      </c>
      <c r="DJ30" t="str">
        <f t="shared" si="33"/>
        <v>U2</v>
      </c>
    </row>
    <row r="31" spans="2:114" x14ac:dyDescent="0.3">
      <c r="B31" s="8" t="s">
        <v>94</v>
      </c>
      <c r="O31" s="66" t="s">
        <v>49</v>
      </c>
      <c r="P31" s="50">
        <f t="shared" si="0"/>
        <v>5</v>
      </c>
      <c r="Q31" s="51">
        <f t="shared" si="0"/>
        <v>400000</v>
      </c>
      <c r="R31" s="52">
        <f t="shared" si="0"/>
        <v>120000</v>
      </c>
      <c r="S31" s="52">
        <f t="shared" si="1"/>
        <v>0</v>
      </c>
      <c r="T31" s="52">
        <f t="shared" si="2"/>
        <v>0</v>
      </c>
      <c r="U31" s="52">
        <f t="shared" si="3"/>
        <v>0</v>
      </c>
      <c r="V31" s="51">
        <f t="shared" si="3"/>
        <v>80000</v>
      </c>
      <c r="W31" s="53">
        <f t="shared" si="3"/>
        <v>0</v>
      </c>
      <c r="X31" s="53">
        <f t="shared" si="29"/>
        <v>0</v>
      </c>
      <c r="Y31" s="53">
        <f t="shared" si="30"/>
        <v>50400</v>
      </c>
      <c r="Z31" s="53">
        <f t="shared" si="14"/>
        <v>8</v>
      </c>
      <c r="AA31" s="53">
        <v>0</v>
      </c>
      <c r="AB31" s="53">
        <f t="shared" si="34"/>
        <v>4</v>
      </c>
      <c r="AC31" s="53">
        <f t="shared" si="35"/>
        <v>8</v>
      </c>
      <c r="AD31" s="53">
        <f t="shared" si="37"/>
        <v>560000</v>
      </c>
      <c r="AE31" s="53">
        <f t="shared" si="36"/>
        <v>168000</v>
      </c>
      <c r="AF31" s="53">
        <f t="shared" si="27"/>
        <v>28000</v>
      </c>
      <c r="AG31" s="78">
        <f t="shared" si="8"/>
        <v>0</v>
      </c>
      <c r="AH31" s="78">
        <v>0</v>
      </c>
      <c r="AI31" s="53">
        <v>0</v>
      </c>
      <c r="AJ31" s="52">
        <f t="shared" si="31"/>
        <v>250400</v>
      </c>
      <c r="CL31">
        <f t="shared" si="20"/>
        <v>23</v>
      </c>
      <c r="CM31" s="5">
        <f>IF($E$9&gt;=7,1,0)</f>
        <v>1</v>
      </c>
      <c r="CN31" s="31">
        <f t="shared" si="22"/>
        <v>5</v>
      </c>
      <c r="CO31" s="32">
        <f t="shared" si="15"/>
        <v>400000</v>
      </c>
      <c r="CP31" s="33">
        <f t="shared" si="16"/>
        <v>120000</v>
      </c>
      <c r="CQ31" s="31">
        <f t="shared" si="21"/>
        <v>15</v>
      </c>
      <c r="CR31" s="34">
        <f>CO31+CR30</f>
        <v>800000</v>
      </c>
      <c r="CS31" s="41"/>
      <c r="CT31" s="33"/>
      <c r="CU31" s="41">
        <f>VLOOKUP(CQ31,REF!$M$16:$N$18,2,1)</f>
        <v>0.15</v>
      </c>
      <c r="CV31" s="43"/>
      <c r="CW31" s="41">
        <f>VLOOKUP(SUM($CP$9:$CP$20),REF!$O$2:$P$5,2,1)*IF(AND(SUM('Advisor-Leader'!$CN$9:$CN$20)&gt;=24,'Advisor-Leader'!$E$9&gt;=7),1,0)</f>
        <v>1.2</v>
      </c>
      <c r="CX31" s="43"/>
      <c r="CY31" s="45">
        <f t="shared" si="28"/>
        <v>80000</v>
      </c>
      <c r="CZ31" s="44"/>
      <c r="DB31" s="32">
        <f>DB30</f>
        <v>8</v>
      </c>
      <c r="DC31" s="5">
        <f>IF($G$23&gt;=7,1,0)</f>
        <v>1</v>
      </c>
      <c r="DD31" s="32">
        <f t="shared" si="10"/>
        <v>16</v>
      </c>
      <c r="DE31" s="32">
        <f t="shared" si="17"/>
        <v>1120000</v>
      </c>
      <c r="DF31" s="32">
        <f t="shared" si="24"/>
        <v>336000</v>
      </c>
      <c r="DG31" s="40">
        <f t="shared" si="12"/>
        <v>0.15</v>
      </c>
      <c r="DH31" s="34">
        <f t="shared" si="19"/>
        <v>50400</v>
      </c>
      <c r="DI31" s="34">
        <f t="shared" si="32"/>
        <v>50400</v>
      </c>
      <c r="DJ31" t="str">
        <f t="shared" si="33"/>
        <v>U2</v>
      </c>
    </row>
    <row r="32" spans="2:114" x14ac:dyDescent="0.3">
      <c r="B32" s="8" t="s">
        <v>64</v>
      </c>
      <c r="O32" s="66" t="s">
        <v>50</v>
      </c>
      <c r="P32" s="50">
        <f t="shared" si="0"/>
        <v>5</v>
      </c>
      <c r="Q32" s="51">
        <f t="shared" si="0"/>
        <v>400000</v>
      </c>
      <c r="R32" s="52">
        <f t="shared" si="0"/>
        <v>120000</v>
      </c>
      <c r="S32" s="52">
        <f t="shared" si="1"/>
        <v>54000</v>
      </c>
      <c r="T32" s="52">
        <f t="shared" si="2"/>
        <v>0</v>
      </c>
      <c r="U32" s="52">
        <f t="shared" si="3"/>
        <v>0</v>
      </c>
      <c r="V32" s="51">
        <f t="shared" si="3"/>
        <v>80000</v>
      </c>
      <c r="W32" s="53">
        <f t="shared" si="3"/>
        <v>96000</v>
      </c>
      <c r="X32" s="53">
        <f t="shared" si="29"/>
        <v>0</v>
      </c>
      <c r="Y32" s="53">
        <f t="shared" si="30"/>
        <v>50400</v>
      </c>
      <c r="Z32" s="53">
        <f t="shared" si="14"/>
        <v>8</v>
      </c>
      <c r="AA32" s="53">
        <f>E$16</f>
        <v>0</v>
      </c>
      <c r="AB32" s="53">
        <f t="shared" si="34"/>
        <v>4</v>
      </c>
      <c r="AC32" s="53">
        <f t="shared" si="35"/>
        <v>8</v>
      </c>
      <c r="AD32" s="53">
        <f t="shared" si="37"/>
        <v>560000</v>
      </c>
      <c r="AE32" s="53">
        <f t="shared" si="36"/>
        <v>168000</v>
      </c>
      <c r="AF32" s="53">
        <f t="shared" si="27"/>
        <v>56000</v>
      </c>
      <c r="AG32" s="78">
        <f t="shared" si="8"/>
        <v>0</v>
      </c>
      <c r="AH32" s="78">
        <f>IF(DJ32="U1",SUM(AE30:AE32)*0.32,0)</f>
        <v>0</v>
      </c>
      <c r="AI32" s="53">
        <f>IF(SUM(AD30:AD32)&gt;=1200000,VLOOKUP(AVERAGE(AB30:AB32),REF!$U$15:$V$19,2,1),0)*SUM(AE30:AE32)*IF(DJ32="U1",1,0)</f>
        <v>0</v>
      </c>
      <c r="AJ32" s="52">
        <f t="shared" si="31"/>
        <v>400400</v>
      </c>
      <c r="AL32" s="34">
        <f>SUM(AD21:AD32)</f>
        <v>5320000</v>
      </c>
      <c r="AM32" s="74">
        <f>VLOOKUP(AL32,REF!$U$10:$V$12,2,1)</f>
        <v>0.3</v>
      </c>
      <c r="CL32">
        <f t="shared" si="20"/>
        <v>24</v>
      </c>
      <c r="CM32" s="5">
        <v>1</v>
      </c>
      <c r="CN32" s="31">
        <f t="shared" si="22"/>
        <v>5</v>
      </c>
      <c r="CO32" s="32">
        <f t="shared" si="15"/>
        <v>400000</v>
      </c>
      <c r="CP32" s="33">
        <f t="shared" si="16"/>
        <v>120000</v>
      </c>
      <c r="CQ32" s="31">
        <f t="shared" si="21"/>
        <v>15</v>
      </c>
      <c r="CR32" s="34">
        <f>CO32+CR31</f>
        <v>1200000</v>
      </c>
      <c r="CS32" s="41">
        <f>VLOOKUP(CR32,REF!$G$4:$H$10,2,1)</f>
        <v>0.15</v>
      </c>
      <c r="CT32" s="33">
        <f>CS32*SUM(CP30:CP32)</f>
        <v>54000</v>
      </c>
      <c r="CU32" s="41">
        <f>VLOOKUP(CQ32,REF!$M$16:$N$18,2,1)</f>
        <v>0.15</v>
      </c>
      <c r="CV32" s="43"/>
      <c r="CW32" s="41">
        <f>VLOOKUP(SUM($CP$9:$CP$20),REF!$O$2:$P$5,2,1)*IF(AND(SUM('Advisor-Leader'!$CN$9:$CN$20)&gt;=24,'Advisor-Leader'!$E$9&gt;=7),1,0)</f>
        <v>1.2</v>
      </c>
      <c r="CX32" s="43"/>
      <c r="CY32" s="45">
        <f t="shared" si="28"/>
        <v>80000</v>
      </c>
      <c r="CZ32" s="43">
        <f>SUM(CY30:CY32)*0.4</f>
        <v>96000</v>
      </c>
      <c r="DB32" s="32">
        <f>DB31+E16</f>
        <v>8</v>
      </c>
      <c r="DC32" s="5">
        <v>1</v>
      </c>
      <c r="DD32" s="32">
        <f t="shared" si="10"/>
        <v>16</v>
      </c>
      <c r="DE32" s="32">
        <f t="shared" si="17"/>
        <v>1120000</v>
      </c>
      <c r="DF32" s="32">
        <f t="shared" si="24"/>
        <v>336000</v>
      </c>
      <c r="DG32" s="40">
        <f t="shared" si="12"/>
        <v>0.15</v>
      </c>
      <c r="DH32" s="34">
        <f t="shared" si="19"/>
        <v>50400</v>
      </c>
      <c r="DI32" s="34">
        <f t="shared" si="32"/>
        <v>50400</v>
      </c>
      <c r="DJ32" t="str">
        <f t="shared" si="33"/>
        <v>U2</v>
      </c>
    </row>
    <row r="33" spans="2:114" x14ac:dyDescent="0.3">
      <c r="O33" s="66" t="s">
        <v>51</v>
      </c>
      <c r="P33" s="50">
        <f t="shared" si="0"/>
        <v>5</v>
      </c>
      <c r="Q33" s="51">
        <f t="shared" si="0"/>
        <v>400000</v>
      </c>
      <c r="R33" s="52">
        <f t="shared" si="0"/>
        <v>120000</v>
      </c>
      <c r="S33" s="52">
        <f t="shared" si="1"/>
        <v>0</v>
      </c>
      <c r="T33" s="52">
        <f t="shared" si="2"/>
        <v>0</v>
      </c>
      <c r="U33" s="52">
        <f t="shared" si="3"/>
        <v>0</v>
      </c>
      <c r="V33" s="51">
        <f t="shared" si="3"/>
        <v>100000</v>
      </c>
      <c r="W33" s="53">
        <f t="shared" si="3"/>
        <v>0</v>
      </c>
      <c r="X33" s="53">
        <f t="shared" si="29"/>
        <v>0</v>
      </c>
      <c r="Y33" s="53">
        <f t="shared" si="30"/>
        <v>0</v>
      </c>
      <c r="Z33" s="53">
        <f t="shared" si="14"/>
        <v>8</v>
      </c>
      <c r="AA33" s="53">
        <v>0</v>
      </c>
      <c r="AB33" s="53">
        <f t="shared" si="34"/>
        <v>4</v>
      </c>
      <c r="AC33" s="53">
        <f t="shared" si="35"/>
        <v>8</v>
      </c>
      <c r="AD33" s="53">
        <f t="shared" si="37"/>
        <v>560000</v>
      </c>
      <c r="AE33" s="53">
        <f t="shared" si="36"/>
        <v>168000</v>
      </c>
      <c r="AF33" s="53">
        <f>(AD21*0.2)+(AD9*0.05)</f>
        <v>56000</v>
      </c>
      <c r="AG33" s="78">
        <f t="shared" si="8"/>
        <v>58799.999999999993</v>
      </c>
      <c r="AH33" s="78">
        <v>0</v>
      </c>
      <c r="AI33" s="53">
        <v>0</v>
      </c>
      <c r="AJ33" s="52">
        <f t="shared" ref="AJ33:AJ42" si="38">SUM(R33:Y33)+SUM(AG33:AI33)</f>
        <v>278800</v>
      </c>
      <c r="CL33">
        <f t="shared" si="20"/>
        <v>25</v>
      </c>
      <c r="CM33" s="5">
        <f>IF($E$9&gt;=6,1,0)</f>
        <v>1</v>
      </c>
      <c r="CN33" s="31">
        <f t="shared" si="22"/>
        <v>5</v>
      </c>
      <c r="CO33" s="32">
        <f t="shared" si="15"/>
        <v>400000</v>
      </c>
      <c r="CP33" s="33">
        <f t="shared" si="16"/>
        <v>120000</v>
      </c>
      <c r="CQ33" s="31">
        <f t="shared" si="21"/>
        <v>15</v>
      </c>
      <c r="CR33" s="34">
        <f>CO33</f>
        <v>400000</v>
      </c>
      <c r="CS33" s="41"/>
      <c r="CT33" s="33"/>
      <c r="CU33" s="41">
        <f>VLOOKUP(CQ33,REF!$M$16:$N$18,2,1)</f>
        <v>0.15</v>
      </c>
      <c r="CV33" s="43"/>
      <c r="CW33" s="41">
        <f>VLOOKUP(SUM($CP$21:$CP$32),REF!$O$2:$P$5,2,1)*IF(AND(SUM('Advisor-Leader'!$CN$21:$CN$32)&gt;=24,'Advisor-Leader'!$E$9&gt;=7),1,0)</f>
        <v>1.2</v>
      </c>
      <c r="CX33" s="43"/>
      <c r="CY33" s="45">
        <f t="shared" ref="CY33:CY68" si="39">CO21*0.2+(CO9*0.05)</f>
        <v>100000</v>
      </c>
      <c r="CZ33" s="44"/>
      <c r="DB33" s="32">
        <f>DB32</f>
        <v>8</v>
      </c>
      <c r="DC33" s="5">
        <f>IF($G$23&gt;=6,1,0)</f>
        <v>1</v>
      </c>
      <c r="DD33" s="32">
        <f t="shared" si="10"/>
        <v>16</v>
      </c>
      <c r="DE33" s="32">
        <f t="shared" si="17"/>
        <v>1120000</v>
      </c>
      <c r="DF33" s="32">
        <f t="shared" si="24"/>
        <v>336000</v>
      </c>
      <c r="DG33" s="40">
        <f t="shared" si="12"/>
        <v>0.15</v>
      </c>
      <c r="DH33" s="34">
        <f t="shared" si="19"/>
        <v>50400</v>
      </c>
      <c r="DI33" s="34">
        <f t="shared" si="32"/>
        <v>50400</v>
      </c>
      <c r="DJ33" t="str">
        <f t="shared" ref="DJ33:DJ68" si="40">IF(DJ32="C1",IF(DB33&gt;=2,"U2","C1"),IF(DB33&gt;=6,"U1","U2"))</f>
        <v>U1</v>
      </c>
    </row>
    <row r="34" spans="2:114" x14ac:dyDescent="0.3">
      <c r="B34" s="58" t="s">
        <v>189</v>
      </c>
      <c r="O34" s="66" t="s">
        <v>52</v>
      </c>
      <c r="P34" s="50">
        <f t="shared" si="0"/>
        <v>5</v>
      </c>
      <c r="Q34" s="51">
        <f t="shared" si="0"/>
        <v>400000</v>
      </c>
      <c r="R34" s="52">
        <f t="shared" si="0"/>
        <v>120000</v>
      </c>
      <c r="S34" s="52">
        <f t="shared" si="1"/>
        <v>0</v>
      </c>
      <c r="T34" s="52">
        <f t="shared" si="2"/>
        <v>0</v>
      </c>
      <c r="U34" s="52">
        <f t="shared" si="3"/>
        <v>0</v>
      </c>
      <c r="V34" s="51">
        <f t="shared" si="3"/>
        <v>100000</v>
      </c>
      <c r="W34" s="53">
        <f t="shared" si="3"/>
        <v>0</v>
      </c>
      <c r="X34" s="53">
        <f t="shared" si="29"/>
        <v>0</v>
      </c>
      <c r="Y34" s="53">
        <f t="shared" si="30"/>
        <v>0</v>
      </c>
      <c r="Z34" s="53">
        <f t="shared" si="14"/>
        <v>8</v>
      </c>
      <c r="AA34" s="53">
        <v>0</v>
      </c>
      <c r="AB34" s="53">
        <f t="shared" si="34"/>
        <v>4</v>
      </c>
      <c r="AC34" s="53">
        <f t="shared" si="35"/>
        <v>8</v>
      </c>
      <c r="AD34" s="53">
        <f t="shared" si="37"/>
        <v>560000</v>
      </c>
      <c r="AE34" s="53">
        <f t="shared" si="36"/>
        <v>168000</v>
      </c>
      <c r="AF34" s="53">
        <f t="shared" ref="AF34:AF68" si="41">(AD22*0.2)+(AD10*0.05)</f>
        <v>56000</v>
      </c>
      <c r="AG34" s="78">
        <f t="shared" si="8"/>
        <v>58799.999999999993</v>
      </c>
      <c r="AH34" s="78">
        <v>0</v>
      </c>
      <c r="AI34" s="53">
        <v>0</v>
      </c>
      <c r="AJ34" s="52">
        <f t="shared" si="38"/>
        <v>278800</v>
      </c>
      <c r="CL34">
        <f t="shared" si="20"/>
        <v>26</v>
      </c>
      <c r="CM34" s="5">
        <f>IF($E$9&gt;=5,1,0)</f>
        <v>1</v>
      </c>
      <c r="CN34" s="31">
        <f t="shared" si="22"/>
        <v>5</v>
      </c>
      <c r="CO34" s="32">
        <f t="shared" si="15"/>
        <v>400000</v>
      </c>
      <c r="CP34" s="33">
        <f t="shared" si="16"/>
        <v>120000</v>
      </c>
      <c r="CQ34" s="31">
        <f t="shared" si="21"/>
        <v>15</v>
      </c>
      <c r="CR34" s="34">
        <f>CO34+CR33</f>
        <v>800000</v>
      </c>
      <c r="CS34" s="41"/>
      <c r="CT34" s="33"/>
      <c r="CU34" s="41">
        <f>VLOOKUP(CQ34,REF!$M$16:$N$18,2,1)</f>
        <v>0.15</v>
      </c>
      <c r="CV34" s="43"/>
      <c r="CW34" s="41">
        <f>VLOOKUP(SUM($CP$21:$CP$32),REF!$O$2:$P$5,2,1)*IF(AND(SUM('Advisor-Leader'!$CN$21:$CN$32)&gt;=24,'Advisor-Leader'!$E$9&gt;=7),1,0)</f>
        <v>1.2</v>
      </c>
      <c r="CX34" s="43"/>
      <c r="CY34" s="45">
        <f t="shared" si="39"/>
        <v>100000</v>
      </c>
      <c r="CZ34" s="44"/>
      <c r="DB34" s="32">
        <f>DB33</f>
        <v>8</v>
      </c>
      <c r="DC34" s="5">
        <f>IF($G$23&gt;=5,1,0)</f>
        <v>1</v>
      </c>
      <c r="DD34" s="32">
        <f t="shared" si="10"/>
        <v>16</v>
      </c>
      <c r="DE34" s="32">
        <f t="shared" si="17"/>
        <v>1120000</v>
      </c>
      <c r="DF34" s="32">
        <f t="shared" si="24"/>
        <v>336000</v>
      </c>
      <c r="DG34" s="40">
        <f t="shared" si="12"/>
        <v>0.15</v>
      </c>
      <c r="DH34" s="34">
        <f t="shared" si="19"/>
        <v>50400</v>
      </c>
      <c r="DI34" s="34">
        <f t="shared" si="32"/>
        <v>50400</v>
      </c>
      <c r="DJ34" t="str">
        <f t="shared" si="40"/>
        <v>U1</v>
      </c>
    </row>
    <row r="35" spans="2:114" x14ac:dyDescent="0.3">
      <c r="C35" s="80" t="s">
        <v>190</v>
      </c>
      <c r="D35" s="80" t="s">
        <v>191</v>
      </c>
      <c r="O35" s="66" t="s">
        <v>53</v>
      </c>
      <c r="P35" s="50">
        <f t="shared" si="0"/>
        <v>5</v>
      </c>
      <c r="Q35" s="51">
        <f t="shared" si="0"/>
        <v>400000</v>
      </c>
      <c r="R35" s="52">
        <f t="shared" si="0"/>
        <v>120000</v>
      </c>
      <c r="S35" s="52">
        <f t="shared" si="1"/>
        <v>54000</v>
      </c>
      <c r="T35" s="52">
        <f t="shared" si="2"/>
        <v>0</v>
      </c>
      <c r="U35" s="52">
        <f t="shared" si="3"/>
        <v>0</v>
      </c>
      <c r="V35" s="51">
        <f t="shared" si="3"/>
        <v>100000</v>
      </c>
      <c r="W35" s="53">
        <f t="shared" si="3"/>
        <v>120000</v>
      </c>
      <c r="X35" s="53">
        <f t="shared" si="29"/>
        <v>0</v>
      </c>
      <c r="Y35" s="53">
        <f t="shared" si="30"/>
        <v>0</v>
      </c>
      <c r="Z35" s="53">
        <f t="shared" si="14"/>
        <v>11</v>
      </c>
      <c r="AA35" s="53">
        <f>G$13</f>
        <v>3</v>
      </c>
      <c r="AB35" s="53">
        <f t="shared" si="34"/>
        <v>6</v>
      </c>
      <c r="AC35" s="53">
        <f t="shared" si="35"/>
        <v>12</v>
      </c>
      <c r="AD35" s="53">
        <f t="shared" si="37"/>
        <v>840000</v>
      </c>
      <c r="AE35" s="53">
        <f t="shared" si="36"/>
        <v>252000</v>
      </c>
      <c r="AF35" s="53">
        <f t="shared" si="41"/>
        <v>84000</v>
      </c>
      <c r="AG35" s="78">
        <f t="shared" si="8"/>
        <v>88200</v>
      </c>
      <c r="AH35" s="78">
        <f>IF(DJ35="U1",SUM(AE33:AE35)*0.32,0)</f>
        <v>188160</v>
      </c>
      <c r="AI35" s="53">
        <f>IF(AND((AVERAGE(AB33:AB35)+1)&gt;=5,SUM(AD33:AD35,SUM(Q33:Q35)*0.5)&gt;=1200000),VLOOKUP(SUM(AD33:AD35,SUM(Q33:Q35)*0.5),REF!$G$25:$H$30,2,1)*SUM('Advisor-Leader'!AE33:AE35,SUM('Advisor-Leader'!R33:R35)*0.5))*IF('Advisor-Leader'!DJ35="U1",1,0)</f>
        <v>15360</v>
      </c>
      <c r="AJ35" s="52">
        <f t="shared" si="38"/>
        <v>685720</v>
      </c>
      <c r="CL35">
        <f t="shared" si="20"/>
        <v>27</v>
      </c>
      <c r="CM35" s="5">
        <v>1</v>
      </c>
      <c r="CN35" s="31">
        <f t="shared" si="22"/>
        <v>5</v>
      </c>
      <c r="CO35" s="32">
        <f t="shared" si="15"/>
        <v>400000</v>
      </c>
      <c r="CP35" s="33">
        <f t="shared" si="16"/>
        <v>120000</v>
      </c>
      <c r="CQ35" s="31">
        <f t="shared" si="21"/>
        <v>15</v>
      </c>
      <c r="CR35" s="34">
        <f>CO35+CR34</f>
        <v>1200000</v>
      </c>
      <c r="CS35" s="41">
        <f>VLOOKUP(CR35,REF!$G$4:$H$10,2,1)</f>
        <v>0.15</v>
      </c>
      <c r="CT35" s="33">
        <f>CS35*SUM(CP33:CP35)</f>
        <v>54000</v>
      </c>
      <c r="CU35" s="41">
        <f>VLOOKUP(CQ35,REF!$M$16:$N$18,2,1)</f>
        <v>0.15</v>
      </c>
      <c r="CV35" s="43"/>
      <c r="CW35" s="41">
        <f>VLOOKUP(SUM($CP$21:$CP$32),REF!$O$2:$P$5,2,1)*IF(AND(SUM('Advisor-Leader'!$CN$21:$CN$32)&gt;=24,'Advisor-Leader'!$E$9&gt;=7),1,0)</f>
        <v>1.2</v>
      </c>
      <c r="CX35" s="43"/>
      <c r="CY35" s="45">
        <f t="shared" si="39"/>
        <v>100000</v>
      </c>
      <c r="CZ35" s="43">
        <f>SUM(CY33:CY35)*0.4</f>
        <v>120000</v>
      </c>
      <c r="DB35" s="32">
        <f>DB34+G13</f>
        <v>11</v>
      </c>
      <c r="DC35" s="5">
        <v>1</v>
      </c>
      <c r="DD35" s="32">
        <f t="shared" si="10"/>
        <v>22</v>
      </c>
      <c r="DE35" s="32">
        <f t="shared" si="17"/>
        <v>1540000</v>
      </c>
      <c r="DF35" s="32">
        <f t="shared" si="24"/>
        <v>462000</v>
      </c>
      <c r="DG35" s="40">
        <f t="shared" si="12"/>
        <v>0.15</v>
      </c>
      <c r="DH35" s="34">
        <f t="shared" si="19"/>
        <v>69300</v>
      </c>
      <c r="DI35" s="34">
        <f t="shared" si="32"/>
        <v>69300</v>
      </c>
      <c r="DJ35" t="str">
        <f t="shared" si="40"/>
        <v>U1</v>
      </c>
    </row>
    <row r="36" spans="2:114" x14ac:dyDescent="0.3">
      <c r="B36" t="s">
        <v>184</v>
      </c>
      <c r="C36" s="79">
        <f>SUM(AJ9:AJ20)/1000000</f>
        <v>1.8089999999999999</v>
      </c>
      <c r="D36" s="34">
        <f>C36*1000/12</f>
        <v>150.75</v>
      </c>
      <c r="O36" s="66" t="s">
        <v>54</v>
      </c>
      <c r="P36" s="50">
        <f t="shared" si="0"/>
        <v>5</v>
      </c>
      <c r="Q36" s="51">
        <f t="shared" si="0"/>
        <v>400000</v>
      </c>
      <c r="R36" s="52">
        <f t="shared" si="0"/>
        <v>120000</v>
      </c>
      <c r="S36" s="52">
        <f t="shared" si="1"/>
        <v>0</v>
      </c>
      <c r="T36" s="52">
        <f t="shared" si="2"/>
        <v>0</v>
      </c>
      <c r="U36" s="52">
        <f t="shared" si="3"/>
        <v>0</v>
      </c>
      <c r="V36" s="51">
        <f t="shared" si="3"/>
        <v>100000</v>
      </c>
      <c r="W36" s="53">
        <f t="shared" si="3"/>
        <v>0</v>
      </c>
      <c r="X36" s="53">
        <f t="shared" si="29"/>
        <v>0</v>
      </c>
      <c r="Y36" s="53">
        <f t="shared" si="30"/>
        <v>0</v>
      </c>
      <c r="Z36" s="53">
        <f t="shared" si="14"/>
        <v>11</v>
      </c>
      <c r="AA36" s="53">
        <v>0</v>
      </c>
      <c r="AB36" s="53">
        <f t="shared" si="34"/>
        <v>6</v>
      </c>
      <c r="AC36" s="53">
        <f t="shared" si="35"/>
        <v>12</v>
      </c>
      <c r="AD36" s="53">
        <f t="shared" si="37"/>
        <v>840000</v>
      </c>
      <c r="AE36" s="53">
        <f t="shared" si="36"/>
        <v>252000</v>
      </c>
      <c r="AF36" s="53">
        <f t="shared" si="41"/>
        <v>84000</v>
      </c>
      <c r="AG36" s="78">
        <f t="shared" si="8"/>
        <v>88200</v>
      </c>
      <c r="AH36" s="78">
        <v>0</v>
      </c>
      <c r="AI36" s="53"/>
      <c r="AJ36" s="52">
        <f t="shared" si="38"/>
        <v>308200</v>
      </c>
      <c r="CL36">
        <f t="shared" si="20"/>
        <v>28</v>
      </c>
      <c r="CM36" s="5">
        <f>IF($E$9=12,1,0)</f>
        <v>1</v>
      </c>
      <c r="CN36" s="31">
        <f t="shared" si="22"/>
        <v>5</v>
      </c>
      <c r="CO36" s="32">
        <f t="shared" si="15"/>
        <v>400000</v>
      </c>
      <c r="CP36" s="33">
        <f t="shared" si="16"/>
        <v>120000</v>
      </c>
      <c r="CQ36" s="31">
        <f t="shared" si="21"/>
        <v>15</v>
      </c>
      <c r="CR36" s="34">
        <f>CO36</f>
        <v>400000</v>
      </c>
      <c r="CS36" s="41"/>
      <c r="CT36" s="33"/>
      <c r="CU36" s="41">
        <f>VLOOKUP(CQ36,REF!$M$16:$N$18,2,1)</f>
        <v>0.15</v>
      </c>
      <c r="CV36" s="43"/>
      <c r="CW36" s="41">
        <f>VLOOKUP(SUM($CP$21:$CP$32),REF!$O$2:$P$5,2,1)*IF(AND(SUM('Advisor-Leader'!$CN$21:$CN$32)&gt;=24,'Advisor-Leader'!$E$9&gt;=7),1,0)</f>
        <v>1.2</v>
      </c>
      <c r="CX36" s="43"/>
      <c r="CY36" s="45">
        <f t="shared" si="39"/>
        <v>100000</v>
      </c>
      <c r="CZ36" s="44"/>
      <c r="DB36" s="32">
        <f>DB35</f>
        <v>11</v>
      </c>
      <c r="DC36" s="5">
        <f>IF($G$23=12,1,0)</f>
        <v>0</v>
      </c>
      <c r="DD36" s="32">
        <f t="shared" si="10"/>
        <v>0</v>
      </c>
      <c r="DE36" s="32">
        <f t="shared" si="17"/>
        <v>0</v>
      </c>
      <c r="DF36" s="32">
        <f t="shared" si="24"/>
        <v>0</v>
      </c>
      <c r="DG36" s="40">
        <f t="shared" si="12"/>
        <v>0.15</v>
      </c>
      <c r="DH36" s="34">
        <f t="shared" si="19"/>
        <v>0</v>
      </c>
      <c r="DI36" s="34">
        <f t="shared" si="32"/>
        <v>0</v>
      </c>
      <c r="DJ36" t="str">
        <f t="shared" si="40"/>
        <v>U1</v>
      </c>
    </row>
    <row r="37" spans="2:114" x14ac:dyDescent="0.3">
      <c r="B37" t="s">
        <v>185</v>
      </c>
      <c r="C37" s="79">
        <f>SUM(AJ21:AJ32)/1000000</f>
        <v>3.3275999999999999</v>
      </c>
      <c r="D37" s="34">
        <f t="shared" ref="D37:D40" si="42">C37*1000/12</f>
        <v>277.3</v>
      </c>
      <c r="O37" s="66" t="s">
        <v>55</v>
      </c>
      <c r="P37" s="50">
        <f t="shared" si="0"/>
        <v>5</v>
      </c>
      <c r="Q37" s="51">
        <f t="shared" si="0"/>
        <v>400000</v>
      </c>
      <c r="R37" s="52">
        <f t="shared" si="0"/>
        <v>120000</v>
      </c>
      <c r="S37" s="52">
        <f t="shared" si="1"/>
        <v>0</v>
      </c>
      <c r="T37" s="52">
        <f t="shared" si="2"/>
        <v>0</v>
      </c>
      <c r="U37" s="52">
        <f t="shared" si="3"/>
        <v>0</v>
      </c>
      <c r="V37" s="51">
        <f t="shared" si="3"/>
        <v>100000</v>
      </c>
      <c r="W37" s="53">
        <f t="shared" si="3"/>
        <v>0</v>
      </c>
      <c r="X37" s="53">
        <f t="shared" si="29"/>
        <v>0</v>
      </c>
      <c r="Y37" s="53">
        <f t="shared" si="30"/>
        <v>0</v>
      </c>
      <c r="Z37" s="53">
        <f t="shared" si="14"/>
        <v>11</v>
      </c>
      <c r="AA37" s="53">
        <v>0</v>
      </c>
      <c r="AB37" s="53">
        <f t="shared" si="34"/>
        <v>6</v>
      </c>
      <c r="AC37" s="53">
        <f t="shared" si="35"/>
        <v>12</v>
      </c>
      <c r="AD37" s="53">
        <f t="shared" si="37"/>
        <v>840000</v>
      </c>
      <c r="AE37" s="53">
        <f t="shared" si="36"/>
        <v>252000</v>
      </c>
      <c r="AF37" s="53">
        <f t="shared" si="41"/>
        <v>84000</v>
      </c>
      <c r="AG37" s="78">
        <f t="shared" si="8"/>
        <v>88200</v>
      </c>
      <c r="AH37" s="78">
        <v>0</v>
      </c>
      <c r="AI37" s="53"/>
      <c r="AJ37" s="52">
        <f t="shared" si="38"/>
        <v>308200</v>
      </c>
      <c r="CL37">
        <f t="shared" si="20"/>
        <v>29</v>
      </c>
      <c r="CM37" s="5">
        <f>IF($E$9&gt;=10,1,0)</f>
        <v>1</v>
      </c>
      <c r="CN37" s="31">
        <f t="shared" si="22"/>
        <v>5</v>
      </c>
      <c r="CO37" s="32">
        <f t="shared" si="15"/>
        <v>400000</v>
      </c>
      <c r="CP37" s="33">
        <f t="shared" si="16"/>
        <v>120000</v>
      </c>
      <c r="CQ37" s="31">
        <f t="shared" si="21"/>
        <v>15</v>
      </c>
      <c r="CR37" s="34">
        <f>CO37+CR36</f>
        <v>800000</v>
      </c>
      <c r="CS37" s="41"/>
      <c r="CT37" s="33"/>
      <c r="CU37" s="41">
        <f>VLOOKUP(CQ37,REF!$M$16:$N$18,2,1)</f>
        <v>0.15</v>
      </c>
      <c r="CV37" s="43"/>
      <c r="CW37" s="41">
        <f>VLOOKUP(SUM($CP$21:$CP$32),REF!$O$2:$P$5,2,1)*IF(AND(SUM('Advisor-Leader'!$CN$21:$CN$32)&gt;=24,'Advisor-Leader'!$E$9&gt;=7),1,0)</f>
        <v>1.2</v>
      </c>
      <c r="CX37" s="43"/>
      <c r="CY37" s="45">
        <f t="shared" si="39"/>
        <v>100000</v>
      </c>
      <c r="CZ37" s="44"/>
      <c r="DB37" s="32">
        <f>DB36</f>
        <v>11</v>
      </c>
      <c r="DC37" s="5">
        <f>IF($G$23&gt;=10,1,0)</f>
        <v>0</v>
      </c>
      <c r="DD37" s="32">
        <f t="shared" si="10"/>
        <v>0</v>
      </c>
      <c r="DE37" s="32">
        <f t="shared" si="17"/>
        <v>0</v>
      </c>
      <c r="DF37" s="32">
        <f t="shared" si="24"/>
        <v>0</v>
      </c>
      <c r="DG37" s="40">
        <f t="shared" si="12"/>
        <v>0.15</v>
      </c>
      <c r="DH37" s="34">
        <f t="shared" si="19"/>
        <v>0</v>
      </c>
      <c r="DI37" s="34">
        <f t="shared" si="32"/>
        <v>0</v>
      </c>
      <c r="DJ37" t="str">
        <f t="shared" si="40"/>
        <v>U1</v>
      </c>
    </row>
    <row r="38" spans="2:114" x14ac:dyDescent="0.3">
      <c r="B38" t="s">
        <v>186</v>
      </c>
      <c r="C38" s="79">
        <f>SUM(AJ33:AJ44)/1000000</f>
        <v>5.8330799999999998</v>
      </c>
      <c r="D38" s="34">
        <f t="shared" si="42"/>
        <v>486.09</v>
      </c>
      <c r="O38" s="66" t="s">
        <v>56</v>
      </c>
      <c r="P38" s="50">
        <f t="shared" si="0"/>
        <v>5</v>
      </c>
      <c r="Q38" s="51">
        <f t="shared" si="0"/>
        <v>400000</v>
      </c>
      <c r="R38" s="52">
        <f t="shared" si="0"/>
        <v>120000</v>
      </c>
      <c r="S38" s="52">
        <f t="shared" si="1"/>
        <v>54000</v>
      </c>
      <c r="T38" s="52">
        <f t="shared" si="2"/>
        <v>0</v>
      </c>
      <c r="U38" s="52">
        <f t="shared" si="3"/>
        <v>0</v>
      </c>
      <c r="V38" s="51">
        <f t="shared" si="3"/>
        <v>100000</v>
      </c>
      <c r="W38" s="53">
        <f t="shared" si="3"/>
        <v>120000</v>
      </c>
      <c r="X38" s="53">
        <f t="shared" si="29"/>
        <v>0</v>
      </c>
      <c r="Y38" s="53">
        <f t="shared" si="30"/>
        <v>0</v>
      </c>
      <c r="Z38" s="53">
        <f t="shared" si="14"/>
        <v>14</v>
      </c>
      <c r="AA38" s="53">
        <f>G$14</f>
        <v>3</v>
      </c>
      <c r="AB38" s="53">
        <f t="shared" si="34"/>
        <v>7</v>
      </c>
      <c r="AC38" s="53">
        <f t="shared" si="35"/>
        <v>14</v>
      </c>
      <c r="AD38" s="53">
        <f t="shared" si="37"/>
        <v>980000</v>
      </c>
      <c r="AE38" s="53">
        <f t="shared" si="36"/>
        <v>294000</v>
      </c>
      <c r="AF38" s="53">
        <f t="shared" si="41"/>
        <v>84000</v>
      </c>
      <c r="AG38" s="78">
        <f t="shared" si="8"/>
        <v>102900</v>
      </c>
      <c r="AH38" s="78">
        <f>IF(DJ38="U1",SUM(AE36:AE38)*0.32,0)</f>
        <v>255360</v>
      </c>
      <c r="AI38" s="53">
        <f>IF(AND((AVERAGE(AB36:AB38)+1)&gt;=5,SUM(AD36:AD38,SUM(Q36:Q38)*0.5)&gt;=1200000),VLOOKUP(SUM(AD36:AD38,SUM(Q36:Q38)*0.5),REF!$G$25:$H$30,2,1)*SUM('Advisor-Leader'!AE36:AE38,SUM('Advisor-Leader'!R36:R38)*0.5))*IF('Advisor-Leader'!DJ38="U1",1,0)</f>
        <v>29340</v>
      </c>
      <c r="AJ38" s="52">
        <f t="shared" si="38"/>
        <v>781600</v>
      </c>
      <c r="CL38">
        <f t="shared" si="20"/>
        <v>30</v>
      </c>
      <c r="CM38" s="5">
        <v>1</v>
      </c>
      <c r="CN38" s="31">
        <f t="shared" si="22"/>
        <v>5</v>
      </c>
      <c r="CO38" s="32">
        <f t="shared" si="15"/>
        <v>400000</v>
      </c>
      <c r="CP38" s="33">
        <f t="shared" si="16"/>
        <v>120000</v>
      </c>
      <c r="CQ38" s="31">
        <f t="shared" si="21"/>
        <v>15</v>
      </c>
      <c r="CR38" s="34">
        <f>CO38+CR37</f>
        <v>1200000</v>
      </c>
      <c r="CS38" s="41">
        <f>VLOOKUP(CR38,REF!$G$4:$H$10,2,1)</f>
        <v>0.15</v>
      </c>
      <c r="CT38" s="33">
        <f>CS38*SUM(CP36:CP38)</f>
        <v>54000</v>
      </c>
      <c r="CU38" s="41">
        <f>VLOOKUP(CQ38,REF!$M$16:$N$18,2,1)</f>
        <v>0.15</v>
      </c>
      <c r="CV38" s="43"/>
      <c r="CW38" s="41">
        <f>VLOOKUP(SUM($CP$21:$CP$32),REF!$O$2:$P$5,2,1)*IF(AND(SUM('Advisor-Leader'!$CN$21:$CN$32)&gt;=24,'Advisor-Leader'!$E$9&gt;=7),1,0)</f>
        <v>1.2</v>
      </c>
      <c r="CX38" s="43"/>
      <c r="CY38" s="45">
        <f t="shared" si="39"/>
        <v>100000</v>
      </c>
      <c r="CZ38" s="43">
        <f>SUM(CY36:CY38)*0.4</f>
        <v>120000</v>
      </c>
      <c r="DB38" s="32">
        <f>DB37+G14</f>
        <v>14</v>
      </c>
      <c r="DC38" s="5">
        <v>1</v>
      </c>
      <c r="DD38" s="32">
        <f t="shared" si="10"/>
        <v>28</v>
      </c>
      <c r="DE38" s="32">
        <f t="shared" si="17"/>
        <v>1960000</v>
      </c>
      <c r="DF38" s="32">
        <f t="shared" si="24"/>
        <v>588000</v>
      </c>
      <c r="DG38" s="40">
        <f t="shared" si="12"/>
        <v>0.15</v>
      </c>
      <c r="DH38" s="34">
        <f t="shared" si="19"/>
        <v>88200</v>
      </c>
      <c r="DI38" s="34">
        <f t="shared" si="32"/>
        <v>88200</v>
      </c>
      <c r="DJ38" t="str">
        <f t="shared" si="40"/>
        <v>U1</v>
      </c>
    </row>
    <row r="39" spans="2:114" x14ac:dyDescent="0.3">
      <c r="B39" t="s">
        <v>187</v>
      </c>
      <c r="C39" s="79">
        <f>SUM(AJ45:AJ56)/1000000</f>
        <v>8.0894399999999997</v>
      </c>
      <c r="D39" s="34">
        <f t="shared" si="42"/>
        <v>674.12</v>
      </c>
      <c r="O39" s="66" t="s">
        <v>57</v>
      </c>
      <c r="P39" s="50">
        <f t="shared" si="0"/>
        <v>5</v>
      </c>
      <c r="Q39" s="51">
        <f t="shared" si="0"/>
        <v>400000</v>
      </c>
      <c r="R39" s="52">
        <f t="shared" si="0"/>
        <v>120000</v>
      </c>
      <c r="S39" s="52">
        <f t="shared" si="1"/>
        <v>0</v>
      </c>
      <c r="T39" s="52">
        <f t="shared" si="2"/>
        <v>0</v>
      </c>
      <c r="U39" s="52">
        <f t="shared" si="3"/>
        <v>0</v>
      </c>
      <c r="V39" s="51">
        <f t="shared" si="3"/>
        <v>100000</v>
      </c>
      <c r="W39" s="53">
        <f t="shared" si="3"/>
        <v>0</v>
      </c>
      <c r="X39" s="53">
        <f t="shared" si="29"/>
        <v>0</v>
      </c>
      <c r="Y39" s="53">
        <f t="shared" si="30"/>
        <v>0</v>
      </c>
      <c r="Z39" s="53">
        <f t="shared" si="14"/>
        <v>14</v>
      </c>
      <c r="AA39" s="53">
        <v>0</v>
      </c>
      <c r="AB39" s="53">
        <f t="shared" si="34"/>
        <v>7</v>
      </c>
      <c r="AC39" s="53">
        <f t="shared" si="35"/>
        <v>14</v>
      </c>
      <c r="AD39" s="53">
        <f t="shared" si="37"/>
        <v>980000</v>
      </c>
      <c r="AE39" s="53">
        <f t="shared" si="36"/>
        <v>294000</v>
      </c>
      <c r="AF39" s="53">
        <f t="shared" si="41"/>
        <v>84000</v>
      </c>
      <c r="AG39" s="78">
        <f t="shared" si="8"/>
        <v>102900</v>
      </c>
      <c r="AH39" s="78">
        <v>0</v>
      </c>
      <c r="AI39" s="53"/>
      <c r="AJ39" s="52">
        <f t="shared" si="38"/>
        <v>322900</v>
      </c>
      <c r="CL39">
        <f t="shared" si="20"/>
        <v>31</v>
      </c>
      <c r="CM39" s="5">
        <f>IF($E$9&gt;=11,1,0)</f>
        <v>1</v>
      </c>
      <c r="CN39" s="31">
        <f t="shared" si="22"/>
        <v>5</v>
      </c>
      <c r="CO39" s="32">
        <f t="shared" si="15"/>
        <v>400000</v>
      </c>
      <c r="CP39" s="33">
        <f t="shared" si="16"/>
        <v>120000</v>
      </c>
      <c r="CQ39" s="31">
        <f t="shared" si="21"/>
        <v>15</v>
      </c>
      <c r="CR39" s="34">
        <f>CO39</f>
        <v>400000</v>
      </c>
      <c r="CS39" s="41"/>
      <c r="CT39" s="33"/>
      <c r="CU39" s="41">
        <f>VLOOKUP(CQ39,REF!$M$16:$N$18,2,1)</f>
        <v>0.15</v>
      </c>
      <c r="CV39" s="43"/>
      <c r="CW39" s="41">
        <f>VLOOKUP(SUM($CP$21:$CP$32),REF!$O$2:$P$5,2,1)*IF(AND(SUM('Advisor-Leader'!$CN$21:$CN$32)&gt;=24,'Advisor-Leader'!$E$9&gt;=7),1,0)</f>
        <v>1.2</v>
      </c>
      <c r="CX39" s="43"/>
      <c r="CY39" s="45">
        <f t="shared" si="39"/>
        <v>100000</v>
      </c>
      <c r="CZ39" s="44"/>
      <c r="DB39" s="32">
        <f>DB38</f>
        <v>14</v>
      </c>
      <c r="DC39" s="5">
        <f>IF($G$23&gt;=11,1,0)</f>
        <v>0</v>
      </c>
      <c r="DD39" s="32">
        <f t="shared" si="10"/>
        <v>0</v>
      </c>
      <c r="DE39" s="32">
        <f t="shared" si="17"/>
        <v>0</v>
      </c>
      <c r="DF39" s="32">
        <f t="shared" si="24"/>
        <v>0</v>
      </c>
      <c r="DG39" s="40">
        <f t="shared" si="12"/>
        <v>0.15</v>
      </c>
      <c r="DH39" s="34">
        <f t="shared" si="19"/>
        <v>0</v>
      </c>
      <c r="DI39" s="34">
        <f t="shared" si="32"/>
        <v>0</v>
      </c>
      <c r="DJ39" t="str">
        <f t="shared" si="40"/>
        <v>U1</v>
      </c>
    </row>
    <row r="40" spans="2:114" x14ac:dyDescent="0.3">
      <c r="B40" t="s">
        <v>188</v>
      </c>
      <c r="C40" s="79">
        <f>SUM(AJ57:AJ68)/1000000</f>
        <v>10.266719999999999</v>
      </c>
      <c r="D40" s="34">
        <f t="shared" si="42"/>
        <v>855.56</v>
      </c>
      <c r="O40" s="66" t="s">
        <v>58</v>
      </c>
      <c r="P40" s="50">
        <f t="shared" si="0"/>
        <v>5</v>
      </c>
      <c r="Q40" s="51">
        <f t="shared" si="0"/>
        <v>400000</v>
      </c>
      <c r="R40" s="52">
        <f t="shared" si="0"/>
        <v>120000</v>
      </c>
      <c r="S40" s="52">
        <f t="shared" si="1"/>
        <v>0</v>
      </c>
      <c r="T40" s="52">
        <f t="shared" si="2"/>
        <v>0</v>
      </c>
      <c r="U40" s="52">
        <f t="shared" si="3"/>
        <v>0</v>
      </c>
      <c r="V40" s="51">
        <f t="shared" si="3"/>
        <v>100000</v>
      </c>
      <c r="W40" s="53">
        <f t="shared" si="3"/>
        <v>0</v>
      </c>
      <c r="X40" s="53">
        <f t="shared" si="29"/>
        <v>0</v>
      </c>
      <c r="Y40" s="53">
        <f t="shared" si="30"/>
        <v>0</v>
      </c>
      <c r="Z40" s="53">
        <f t="shared" si="14"/>
        <v>14</v>
      </c>
      <c r="AA40" s="53">
        <v>0</v>
      </c>
      <c r="AB40" s="53">
        <f t="shared" si="34"/>
        <v>7</v>
      </c>
      <c r="AC40" s="53">
        <f t="shared" si="35"/>
        <v>14</v>
      </c>
      <c r="AD40" s="53">
        <f t="shared" si="37"/>
        <v>980000</v>
      </c>
      <c r="AE40" s="53">
        <f t="shared" si="36"/>
        <v>294000</v>
      </c>
      <c r="AF40" s="53">
        <f t="shared" si="41"/>
        <v>84000</v>
      </c>
      <c r="AG40" s="78">
        <f t="shared" si="8"/>
        <v>102900</v>
      </c>
      <c r="AH40" s="78">
        <v>0</v>
      </c>
      <c r="AI40" s="53"/>
      <c r="AJ40" s="52">
        <f t="shared" si="38"/>
        <v>322900</v>
      </c>
      <c r="CL40">
        <f t="shared" si="20"/>
        <v>32</v>
      </c>
      <c r="CM40" s="5">
        <f>IF($E$9&gt;=9,1,0)</f>
        <v>1</v>
      </c>
      <c r="CN40" s="31">
        <f t="shared" si="22"/>
        <v>5</v>
      </c>
      <c r="CO40" s="32">
        <f t="shared" si="15"/>
        <v>400000</v>
      </c>
      <c r="CP40" s="33">
        <f t="shared" si="16"/>
        <v>120000</v>
      </c>
      <c r="CQ40" s="31">
        <f t="shared" si="21"/>
        <v>15</v>
      </c>
      <c r="CR40" s="34">
        <f>CO40+CR39</f>
        <v>800000</v>
      </c>
      <c r="CS40" s="41"/>
      <c r="CT40" s="33"/>
      <c r="CU40" s="41">
        <f>VLOOKUP(CQ40,REF!$M$16:$N$18,2,1)</f>
        <v>0.15</v>
      </c>
      <c r="CV40" s="43"/>
      <c r="CW40" s="41">
        <f>VLOOKUP(SUM($CP$21:$CP$32),REF!$O$2:$P$5,2,1)*IF(AND(SUM('Advisor-Leader'!$CN$21:$CN$32)&gt;=24,'Advisor-Leader'!$E$9&gt;=7),1,0)</f>
        <v>1.2</v>
      </c>
      <c r="CX40" s="43"/>
      <c r="CY40" s="45">
        <f t="shared" si="39"/>
        <v>100000</v>
      </c>
      <c r="CZ40" s="44"/>
      <c r="DB40" s="32">
        <f>DB39</f>
        <v>14</v>
      </c>
      <c r="DC40" s="5">
        <f>IF($G$23&gt;=9,1,0)</f>
        <v>0</v>
      </c>
      <c r="DD40" s="32">
        <f t="shared" si="10"/>
        <v>0</v>
      </c>
      <c r="DE40" s="32">
        <f t="shared" si="17"/>
        <v>0</v>
      </c>
      <c r="DF40" s="32">
        <f t="shared" si="24"/>
        <v>0</v>
      </c>
      <c r="DG40" s="40">
        <f t="shared" si="12"/>
        <v>0.15</v>
      </c>
      <c r="DH40" s="34">
        <f t="shared" si="19"/>
        <v>0</v>
      </c>
      <c r="DI40" s="34">
        <f t="shared" si="32"/>
        <v>0</v>
      </c>
      <c r="DJ40" t="str">
        <f t="shared" si="40"/>
        <v>U1</v>
      </c>
    </row>
    <row r="41" spans="2:114" x14ac:dyDescent="0.3">
      <c r="O41" s="66" t="s">
        <v>59</v>
      </c>
      <c r="P41" s="50">
        <f t="shared" si="0"/>
        <v>5</v>
      </c>
      <c r="Q41" s="51">
        <f t="shared" si="0"/>
        <v>400000</v>
      </c>
      <c r="R41" s="52">
        <f t="shared" si="0"/>
        <v>120000</v>
      </c>
      <c r="S41" s="52">
        <f t="shared" si="1"/>
        <v>54000</v>
      </c>
      <c r="T41" s="52">
        <f t="shared" si="2"/>
        <v>0</v>
      </c>
      <c r="U41" s="52">
        <f t="shared" si="3"/>
        <v>0</v>
      </c>
      <c r="V41" s="51">
        <f t="shared" si="3"/>
        <v>100000</v>
      </c>
      <c r="W41" s="53">
        <f t="shared" si="3"/>
        <v>120000</v>
      </c>
      <c r="X41" s="53">
        <f t="shared" si="29"/>
        <v>0</v>
      </c>
      <c r="Y41" s="53">
        <f t="shared" si="30"/>
        <v>0</v>
      </c>
      <c r="Z41" s="53">
        <f t="shared" si="14"/>
        <v>17</v>
      </c>
      <c r="AA41" s="53">
        <f>G$15</f>
        <v>3</v>
      </c>
      <c r="AB41" s="53">
        <f t="shared" si="34"/>
        <v>9</v>
      </c>
      <c r="AC41" s="53">
        <f t="shared" si="35"/>
        <v>18</v>
      </c>
      <c r="AD41" s="53">
        <f t="shared" si="37"/>
        <v>1260000</v>
      </c>
      <c r="AE41" s="53">
        <f t="shared" si="36"/>
        <v>378000</v>
      </c>
      <c r="AF41" s="53">
        <f t="shared" si="41"/>
        <v>119000</v>
      </c>
      <c r="AG41" s="78">
        <f t="shared" ref="AG41:AG68" si="43">IF(DJ41="U1",AE41*0.35,0)</f>
        <v>132300</v>
      </c>
      <c r="AH41" s="78">
        <f>IF(DJ41="U1",SUM(AE39:AE41)*0.32,0)</f>
        <v>309120</v>
      </c>
      <c r="AI41" s="53">
        <f>IF(AND((AVERAGE(AB39:AB41)+1)&gt;=5,SUM(AD39:AD41,SUM(Q39:Q41)*0.5)&gt;=1200000),VLOOKUP(SUM(AD39:AD41,SUM(Q39:Q41)*0.5),REF!$G$25:$H$30,2,1)*SUM('Advisor-Leader'!AE39:AE41,SUM('Advisor-Leader'!R39:R41)*0.5))*IF('Advisor-Leader'!DJ41="U1",1,0)</f>
        <v>34380</v>
      </c>
      <c r="AJ41" s="52">
        <f t="shared" si="38"/>
        <v>869800</v>
      </c>
      <c r="CL41">
        <f t="shared" si="20"/>
        <v>33</v>
      </c>
      <c r="CM41" s="5">
        <v>1</v>
      </c>
      <c r="CN41" s="31">
        <f t="shared" si="22"/>
        <v>5</v>
      </c>
      <c r="CO41" s="32">
        <f t="shared" si="15"/>
        <v>400000</v>
      </c>
      <c r="CP41" s="33">
        <f t="shared" si="16"/>
        <v>120000</v>
      </c>
      <c r="CQ41" s="31">
        <f t="shared" si="21"/>
        <v>15</v>
      </c>
      <c r="CR41" s="34">
        <f>CO41+CR40</f>
        <v>1200000</v>
      </c>
      <c r="CS41" s="41">
        <f>VLOOKUP(CR41,REF!$G$4:$H$10,2,1)</f>
        <v>0.15</v>
      </c>
      <c r="CT41" s="33">
        <f>CS41*SUM(CP39:CP41)</f>
        <v>54000</v>
      </c>
      <c r="CU41" s="41">
        <f>VLOOKUP(CQ41,REF!$M$16:$N$18,2,1)</f>
        <v>0.15</v>
      </c>
      <c r="CV41" s="43"/>
      <c r="CW41" s="41">
        <f>VLOOKUP(SUM($CP$21:$CP$32),REF!$O$2:$P$5,2,1)*IF(AND(SUM('Advisor-Leader'!$CN$21:$CN$32)&gt;=24,'Advisor-Leader'!$E$9&gt;=7),1,0)</f>
        <v>1.2</v>
      </c>
      <c r="CX41" s="43"/>
      <c r="CY41" s="45">
        <f t="shared" si="39"/>
        <v>100000</v>
      </c>
      <c r="CZ41" s="43">
        <f>SUM(CY39:CY41)*0.4</f>
        <v>120000</v>
      </c>
      <c r="DB41" s="32">
        <f>DB40+G15</f>
        <v>17</v>
      </c>
      <c r="DC41" s="5">
        <v>1</v>
      </c>
      <c r="DD41" s="32">
        <f t="shared" si="10"/>
        <v>34</v>
      </c>
      <c r="DE41" s="32">
        <f t="shared" si="17"/>
        <v>2380000</v>
      </c>
      <c r="DF41" s="32">
        <f t="shared" si="24"/>
        <v>714000</v>
      </c>
      <c r="DG41" s="40">
        <f t="shared" si="12"/>
        <v>0.15</v>
      </c>
      <c r="DH41" s="34">
        <f t="shared" si="19"/>
        <v>107100</v>
      </c>
      <c r="DI41" s="34">
        <f t="shared" si="32"/>
        <v>107100</v>
      </c>
      <c r="DJ41" t="str">
        <f t="shared" si="40"/>
        <v>U1</v>
      </c>
    </row>
    <row r="42" spans="2:114" x14ac:dyDescent="0.3">
      <c r="O42" s="66" t="s">
        <v>60</v>
      </c>
      <c r="P42" s="50">
        <f t="shared" si="0"/>
        <v>5</v>
      </c>
      <c r="Q42" s="51">
        <f t="shared" si="0"/>
        <v>400000</v>
      </c>
      <c r="R42" s="52">
        <f t="shared" si="0"/>
        <v>120000</v>
      </c>
      <c r="S42" s="52">
        <f t="shared" si="1"/>
        <v>0</v>
      </c>
      <c r="T42" s="52">
        <f t="shared" si="2"/>
        <v>0</v>
      </c>
      <c r="U42" s="52">
        <f t="shared" si="3"/>
        <v>0</v>
      </c>
      <c r="V42" s="51">
        <f t="shared" si="3"/>
        <v>100000</v>
      </c>
      <c r="W42" s="53">
        <f t="shared" si="3"/>
        <v>0</v>
      </c>
      <c r="X42" s="53">
        <f t="shared" si="29"/>
        <v>0</v>
      </c>
      <c r="Y42" s="53">
        <f t="shared" si="30"/>
        <v>0</v>
      </c>
      <c r="Z42" s="53">
        <f t="shared" si="14"/>
        <v>17</v>
      </c>
      <c r="AA42" s="53">
        <v>0</v>
      </c>
      <c r="AB42" s="53">
        <f t="shared" si="34"/>
        <v>9</v>
      </c>
      <c r="AC42" s="53">
        <f t="shared" si="35"/>
        <v>18</v>
      </c>
      <c r="AD42" s="53">
        <f t="shared" si="37"/>
        <v>1260000</v>
      </c>
      <c r="AE42" s="53">
        <f t="shared" si="36"/>
        <v>378000</v>
      </c>
      <c r="AF42" s="53">
        <f t="shared" si="41"/>
        <v>119000</v>
      </c>
      <c r="AG42" s="78">
        <f t="shared" si="43"/>
        <v>132300</v>
      </c>
      <c r="AH42" s="78">
        <v>0</v>
      </c>
      <c r="AI42" s="53"/>
      <c r="AJ42" s="52">
        <f t="shared" si="38"/>
        <v>352300</v>
      </c>
      <c r="CL42">
        <f t="shared" si="20"/>
        <v>34</v>
      </c>
      <c r="CM42" s="5">
        <f>IF($E$9&gt;=8,1,0)</f>
        <v>1</v>
      </c>
      <c r="CN42" s="31">
        <f t="shared" si="22"/>
        <v>5</v>
      </c>
      <c r="CO42" s="32">
        <f t="shared" si="15"/>
        <v>400000</v>
      </c>
      <c r="CP42" s="33">
        <f t="shared" si="16"/>
        <v>120000</v>
      </c>
      <c r="CQ42" s="31">
        <f t="shared" si="21"/>
        <v>15</v>
      </c>
      <c r="CR42" s="34">
        <f>CO42</f>
        <v>400000</v>
      </c>
      <c r="CS42" s="41"/>
      <c r="CT42" s="33"/>
      <c r="CU42" s="41">
        <f>VLOOKUP(CQ42,REF!$M$16:$N$18,2,1)</f>
        <v>0.15</v>
      </c>
      <c r="CV42" s="43"/>
      <c r="CW42" s="41">
        <f>VLOOKUP(SUM($CP$21:$CP$32),REF!$O$2:$P$5,2,1)*IF(AND(SUM('Advisor-Leader'!$CN$21:$CN$32)&gt;=24,'Advisor-Leader'!$E$9&gt;=7),1,0)</f>
        <v>1.2</v>
      </c>
      <c r="CX42" s="43"/>
      <c r="CY42" s="45">
        <f t="shared" si="39"/>
        <v>100000</v>
      </c>
      <c r="CZ42" s="44"/>
      <c r="DB42" s="32">
        <f>DB41</f>
        <v>17</v>
      </c>
      <c r="DC42" s="5">
        <f>IF($G$23&gt;=8,1,0)</f>
        <v>1</v>
      </c>
      <c r="DD42" s="32">
        <f t="shared" si="10"/>
        <v>34</v>
      </c>
      <c r="DE42" s="32">
        <f t="shared" si="17"/>
        <v>2380000</v>
      </c>
      <c r="DF42" s="32">
        <f t="shared" si="24"/>
        <v>714000</v>
      </c>
      <c r="DG42" s="40">
        <f t="shared" si="12"/>
        <v>0.15</v>
      </c>
      <c r="DH42" s="34">
        <f t="shared" si="19"/>
        <v>107100</v>
      </c>
      <c r="DI42" s="34">
        <f t="shared" si="32"/>
        <v>107100</v>
      </c>
      <c r="DJ42" t="str">
        <f t="shared" si="40"/>
        <v>U1</v>
      </c>
    </row>
    <row r="43" spans="2:114" x14ac:dyDescent="0.3">
      <c r="O43" s="66" t="s">
        <v>61</v>
      </c>
      <c r="P43" s="50">
        <f t="shared" si="0"/>
        <v>5</v>
      </c>
      <c r="Q43" s="51">
        <f t="shared" si="0"/>
        <v>400000</v>
      </c>
      <c r="R43" s="52">
        <f t="shared" si="0"/>
        <v>120000</v>
      </c>
      <c r="S43" s="52">
        <f t="shared" si="1"/>
        <v>0</v>
      </c>
      <c r="T43" s="52">
        <f t="shared" si="2"/>
        <v>0</v>
      </c>
      <c r="U43" s="52">
        <f t="shared" si="3"/>
        <v>0</v>
      </c>
      <c r="V43" s="51">
        <f t="shared" si="3"/>
        <v>100000</v>
      </c>
      <c r="W43" s="53">
        <f t="shared" si="3"/>
        <v>0</v>
      </c>
      <c r="X43" s="53">
        <f t="shared" si="29"/>
        <v>0</v>
      </c>
      <c r="Y43" s="53">
        <f t="shared" si="30"/>
        <v>0</v>
      </c>
      <c r="Z43" s="53">
        <f t="shared" si="14"/>
        <v>17</v>
      </c>
      <c r="AA43" s="53">
        <v>0</v>
      </c>
      <c r="AB43" s="53">
        <f t="shared" si="34"/>
        <v>9</v>
      </c>
      <c r="AC43" s="53">
        <f t="shared" si="35"/>
        <v>18</v>
      </c>
      <c r="AD43" s="53">
        <f t="shared" si="37"/>
        <v>1260000</v>
      </c>
      <c r="AE43" s="53">
        <f t="shared" si="36"/>
        <v>378000</v>
      </c>
      <c r="AF43" s="53">
        <f t="shared" si="41"/>
        <v>119000</v>
      </c>
      <c r="AG43" s="78">
        <f t="shared" si="43"/>
        <v>132300</v>
      </c>
      <c r="AH43" s="78">
        <v>0</v>
      </c>
      <c r="AI43" s="53"/>
      <c r="AJ43" s="52">
        <f t="shared" ref="AJ43:AJ68" si="44">SUM(R43:Y43)+SUM(AG43:AI43)</f>
        <v>352300</v>
      </c>
      <c r="CL43">
        <f t="shared" si="20"/>
        <v>35</v>
      </c>
      <c r="CM43" s="5">
        <f>IF($E$9&gt;=7,1,0)</f>
        <v>1</v>
      </c>
      <c r="CN43" s="31">
        <f t="shared" si="22"/>
        <v>5</v>
      </c>
      <c r="CO43" s="32">
        <f t="shared" si="15"/>
        <v>400000</v>
      </c>
      <c r="CP43" s="33">
        <f t="shared" si="16"/>
        <v>120000</v>
      </c>
      <c r="CQ43" s="31">
        <f t="shared" si="21"/>
        <v>15</v>
      </c>
      <c r="CR43" s="34">
        <f>CO43+CR42</f>
        <v>800000</v>
      </c>
      <c r="CS43" s="41"/>
      <c r="CT43" s="33"/>
      <c r="CU43" s="41">
        <f>VLOOKUP(CQ43,REF!$M$16:$N$18,2,1)</f>
        <v>0.15</v>
      </c>
      <c r="CV43" s="43"/>
      <c r="CW43" s="41">
        <f>VLOOKUP(SUM($CP$21:$CP$32),REF!$O$2:$P$5,2,1)*IF(AND(SUM('Advisor-Leader'!$CN$21:$CN$32)&gt;=24,'Advisor-Leader'!$E$9&gt;=7),1,0)</f>
        <v>1.2</v>
      </c>
      <c r="CX43" s="43"/>
      <c r="CY43" s="45">
        <f t="shared" si="39"/>
        <v>100000</v>
      </c>
      <c r="CZ43" s="44"/>
      <c r="DB43" s="32">
        <f>DB42</f>
        <v>17</v>
      </c>
      <c r="DC43" s="5">
        <f>IF($G$23&gt;=7,1,0)</f>
        <v>1</v>
      </c>
      <c r="DD43" s="32">
        <f t="shared" si="10"/>
        <v>34</v>
      </c>
      <c r="DE43" s="32">
        <f t="shared" si="17"/>
        <v>2380000</v>
      </c>
      <c r="DF43" s="32">
        <f t="shared" si="24"/>
        <v>714000</v>
      </c>
      <c r="DG43" s="40">
        <f t="shared" si="12"/>
        <v>0.15</v>
      </c>
      <c r="DH43" s="34">
        <f t="shared" si="19"/>
        <v>107100</v>
      </c>
      <c r="DI43" s="34">
        <f t="shared" si="32"/>
        <v>107100</v>
      </c>
      <c r="DJ43" t="str">
        <f t="shared" si="40"/>
        <v>U1</v>
      </c>
    </row>
    <row r="44" spans="2:114" x14ac:dyDescent="0.3">
      <c r="O44" s="66" t="s">
        <v>62</v>
      </c>
      <c r="P44" s="50">
        <f t="shared" si="0"/>
        <v>5</v>
      </c>
      <c r="Q44" s="51">
        <f t="shared" si="0"/>
        <v>400000</v>
      </c>
      <c r="R44" s="52">
        <f t="shared" si="0"/>
        <v>120000</v>
      </c>
      <c r="S44" s="52">
        <f t="shared" si="1"/>
        <v>54000</v>
      </c>
      <c r="T44" s="52">
        <f t="shared" si="2"/>
        <v>0</v>
      </c>
      <c r="U44" s="52">
        <f t="shared" si="3"/>
        <v>0</v>
      </c>
      <c r="V44" s="51">
        <f t="shared" si="3"/>
        <v>100000</v>
      </c>
      <c r="W44" s="53">
        <f t="shared" si="3"/>
        <v>120000</v>
      </c>
      <c r="X44" s="53">
        <f t="shared" si="29"/>
        <v>0</v>
      </c>
      <c r="Y44" s="53">
        <f t="shared" si="30"/>
        <v>0</v>
      </c>
      <c r="Z44" s="53">
        <f t="shared" si="14"/>
        <v>20</v>
      </c>
      <c r="AA44" s="53">
        <f>G$16</f>
        <v>3</v>
      </c>
      <c r="AB44" s="53">
        <f t="shared" si="34"/>
        <v>10</v>
      </c>
      <c r="AC44" s="53">
        <f t="shared" si="35"/>
        <v>20</v>
      </c>
      <c r="AD44" s="53">
        <f t="shared" si="37"/>
        <v>1400000</v>
      </c>
      <c r="AE44" s="53">
        <f t="shared" si="36"/>
        <v>420000</v>
      </c>
      <c r="AF44" s="53">
        <f t="shared" si="41"/>
        <v>126000</v>
      </c>
      <c r="AG44" s="78">
        <f t="shared" si="43"/>
        <v>147000</v>
      </c>
      <c r="AH44" s="78">
        <f>IF(DJ44="U1",SUM(AE42:AE44)*0.32,0)</f>
        <v>376320</v>
      </c>
      <c r="AI44" s="53">
        <f>IF(AND((AVERAGE(AB42:AB44)+1)&gt;=5,SUM(AD42:AD44,SUM(Q42:Q44)*0.5)&gt;=1200000),VLOOKUP(SUM(AD42:AD44,SUM(Q42:Q44)*0.5),REF!$G$25:$H$30,2,1)*SUM('Advisor-Leader'!AE42:AE44,SUM('Advisor-Leader'!R42:R44)*0.5))*IF('Advisor-Leader'!DJ44="U1",1,0)</f>
        <v>54240</v>
      </c>
      <c r="AJ44" s="52">
        <f t="shared" si="44"/>
        <v>971560</v>
      </c>
      <c r="AL44" s="34">
        <f>SUM(AD33:AD44)</f>
        <v>11760000</v>
      </c>
      <c r="AM44" s="74">
        <f>VLOOKUP(AL44,REF!$U$10:$V$12,2,1)</f>
        <v>0.25</v>
      </c>
      <c r="CL44">
        <f t="shared" si="20"/>
        <v>36</v>
      </c>
      <c r="CM44" s="5">
        <v>1</v>
      </c>
      <c r="CN44" s="31">
        <f t="shared" si="22"/>
        <v>5</v>
      </c>
      <c r="CO44" s="32">
        <f t="shared" si="15"/>
        <v>400000</v>
      </c>
      <c r="CP44" s="33">
        <f t="shared" si="16"/>
        <v>120000</v>
      </c>
      <c r="CQ44" s="31">
        <f t="shared" si="21"/>
        <v>15</v>
      </c>
      <c r="CR44" s="34">
        <f>CO44+CR43</f>
        <v>1200000</v>
      </c>
      <c r="CS44" s="41">
        <f>VLOOKUP(CR44,REF!$G$4:$H$10,2,1)</f>
        <v>0.15</v>
      </c>
      <c r="CT44" s="33">
        <f>CS44*SUM(CP42:CP44)</f>
        <v>54000</v>
      </c>
      <c r="CU44" s="41">
        <f>VLOOKUP(CQ44,REF!$M$16:$N$18,2,1)</f>
        <v>0.15</v>
      </c>
      <c r="CV44" s="43"/>
      <c r="CW44" s="41">
        <f>VLOOKUP(SUM($CP$21:$CP$32),REF!$O$2:$P$5,2,1)*IF(AND(SUM('Advisor-Leader'!$CN$21:$CN$32)&gt;=24,'Advisor-Leader'!$E$9&gt;=7),1,0)</f>
        <v>1.2</v>
      </c>
      <c r="CX44" s="43"/>
      <c r="CY44" s="45">
        <f t="shared" si="39"/>
        <v>100000</v>
      </c>
      <c r="CZ44" s="43">
        <f>SUM(CY42:CY44)*0.4</f>
        <v>120000</v>
      </c>
      <c r="DB44" s="32">
        <f>DB43+G16</f>
        <v>20</v>
      </c>
      <c r="DC44" s="5">
        <v>1</v>
      </c>
      <c r="DD44" s="32">
        <f t="shared" si="10"/>
        <v>40</v>
      </c>
      <c r="DE44" s="32">
        <f t="shared" si="17"/>
        <v>2800000</v>
      </c>
      <c r="DF44" s="32">
        <f t="shared" si="24"/>
        <v>840000</v>
      </c>
      <c r="DG44" s="40">
        <f t="shared" si="12"/>
        <v>0.15</v>
      </c>
      <c r="DH44" s="34">
        <f t="shared" si="19"/>
        <v>126000</v>
      </c>
      <c r="DI44" s="34">
        <f t="shared" si="32"/>
        <v>126000</v>
      </c>
      <c r="DJ44" t="str">
        <f t="shared" si="40"/>
        <v>U1</v>
      </c>
    </row>
    <row r="45" spans="2:114" x14ac:dyDescent="0.3">
      <c r="O45" s="66" t="s">
        <v>153</v>
      </c>
      <c r="P45" s="50">
        <f t="shared" ref="P45:P68" si="45">CN45</f>
        <v>5</v>
      </c>
      <c r="Q45" s="51">
        <f t="shared" ref="Q45:Q68" si="46">CO45</f>
        <v>400000</v>
      </c>
      <c r="R45" s="52">
        <f t="shared" ref="R45:R68" si="47">CP45</f>
        <v>120000</v>
      </c>
      <c r="S45" s="52">
        <f t="shared" ref="S45:S68" si="48">CT45</f>
        <v>0</v>
      </c>
      <c r="T45" s="52">
        <f t="shared" ref="T45:T68" si="49">CV45</f>
        <v>0</v>
      </c>
      <c r="U45" s="52">
        <f t="shared" ref="U45:U68" si="50">CX45</f>
        <v>0</v>
      </c>
      <c r="V45" s="51">
        <f t="shared" ref="V45:V68" si="51">CY45</f>
        <v>100000</v>
      </c>
      <c r="W45" s="53">
        <f t="shared" ref="W45:W68" si="52">CZ45</f>
        <v>0</v>
      </c>
      <c r="X45" s="53">
        <f t="shared" si="29"/>
        <v>0</v>
      </c>
      <c r="Y45" s="53">
        <f t="shared" si="30"/>
        <v>0</v>
      </c>
      <c r="Z45" s="53">
        <f t="shared" si="14"/>
        <v>20</v>
      </c>
      <c r="AA45" s="53">
        <v>0</v>
      </c>
      <c r="AB45" s="53">
        <f t="shared" si="34"/>
        <v>10</v>
      </c>
      <c r="AC45" s="53">
        <f t="shared" si="35"/>
        <v>20</v>
      </c>
      <c r="AD45" s="53">
        <f t="shared" si="37"/>
        <v>1400000</v>
      </c>
      <c r="AE45" s="53">
        <f t="shared" si="36"/>
        <v>420000</v>
      </c>
      <c r="AF45" s="53">
        <f t="shared" si="41"/>
        <v>126000</v>
      </c>
      <c r="AG45" s="78">
        <f t="shared" si="43"/>
        <v>147000</v>
      </c>
      <c r="AH45" s="78">
        <v>0</v>
      </c>
      <c r="AI45" s="53"/>
      <c r="AJ45" s="52">
        <f t="shared" si="44"/>
        <v>367000</v>
      </c>
      <c r="CL45">
        <f t="shared" si="20"/>
        <v>37</v>
      </c>
      <c r="CM45" s="5">
        <f>IF($E$9&gt;=6,1,0)</f>
        <v>1</v>
      </c>
      <c r="CN45" s="31">
        <f t="shared" si="22"/>
        <v>5</v>
      </c>
      <c r="CO45" s="32">
        <f t="shared" ref="CO45:CO68" si="53">CN45*$G$8</f>
        <v>400000</v>
      </c>
      <c r="CP45" s="33">
        <f t="shared" ref="CP45:CP68" si="54">CO45*0.3</f>
        <v>120000</v>
      </c>
      <c r="CQ45" s="31">
        <f t="shared" ref="CQ45:CQ68" si="55">SUM(CN43:CN45)</f>
        <v>15</v>
      </c>
      <c r="CR45" s="34">
        <f>CO45</f>
        <v>400000</v>
      </c>
      <c r="CS45" s="41"/>
      <c r="CT45" s="33"/>
      <c r="CU45" s="41">
        <f>VLOOKUP(CQ45,REF!$M$16:$N$18,2,1)</f>
        <v>0.15</v>
      </c>
      <c r="CV45" s="43"/>
      <c r="CW45" s="41">
        <f>VLOOKUP(SUM($CP$33:$CP$44),REF!$O$2:$P$5,2,1)*IF(AND(SUM('Advisor-Leader'!$CN$33:$CN$44)&gt;=24,'Advisor-Leader'!$E$9&gt;=7),1,0)</f>
        <v>1.2</v>
      </c>
      <c r="CX45" s="43"/>
      <c r="CY45" s="45">
        <f t="shared" si="39"/>
        <v>100000</v>
      </c>
      <c r="CZ45" s="43"/>
      <c r="DB45" s="32">
        <f>DB44</f>
        <v>20</v>
      </c>
      <c r="DC45" s="5">
        <f>IF($G$23&gt;=6,1,0)</f>
        <v>1</v>
      </c>
      <c r="DD45" s="32">
        <f t="shared" si="10"/>
        <v>40</v>
      </c>
      <c r="DE45" s="32">
        <f t="shared" si="17"/>
        <v>2800000</v>
      </c>
      <c r="DF45" s="32">
        <f t="shared" ref="DF45:DF48" si="56">DE45*0.3</f>
        <v>840000</v>
      </c>
      <c r="DG45" s="40">
        <f t="shared" si="12"/>
        <v>0.15</v>
      </c>
      <c r="DH45" s="34">
        <f t="shared" ref="DH45:DH48" si="57">DG45*DF45</f>
        <v>126000</v>
      </c>
      <c r="DI45" s="34">
        <f t="shared" si="32"/>
        <v>126000</v>
      </c>
      <c r="DJ45" t="str">
        <f t="shared" si="40"/>
        <v>U1</v>
      </c>
    </row>
    <row r="46" spans="2:114" x14ac:dyDescent="0.3">
      <c r="O46" s="66" t="s">
        <v>154</v>
      </c>
      <c r="P46" s="50">
        <f t="shared" si="45"/>
        <v>5</v>
      </c>
      <c r="Q46" s="51">
        <f t="shared" si="46"/>
        <v>400000</v>
      </c>
      <c r="R46" s="52">
        <f t="shared" si="47"/>
        <v>120000</v>
      </c>
      <c r="S46" s="52">
        <f t="shared" si="48"/>
        <v>0</v>
      </c>
      <c r="T46" s="52">
        <f t="shared" si="49"/>
        <v>0</v>
      </c>
      <c r="U46" s="52">
        <f t="shared" si="50"/>
        <v>0</v>
      </c>
      <c r="V46" s="51">
        <f t="shared" si="51"/>
        <v>100000</v>
      </c>
      <c r="W46" s="53">
        <f t="shared" si="52"/>
        <v>0</v>
      </c>
      <c r="X46" s="53">
        <f t="shared" si="29"/>
        <v>0</v>
      </c>
      <c r="Y46" s="53">
        <f t="shared" si="30"/>
        <v>0</v>
      </c>
      <c r="Z46" s="53">
        <f t="shared" si="14"/>
        <v>20</v>
      </c>
      <c r="AA46" s="53">
        <v>0</v>
      </c>
      <c r="AB46" s="53">
        <f t="shared" si="34"/>
        <v>10</v>
      </c>
      <c r="AC46" s="53">
        <f t="shared" si="35"/>
        <v>20</v>
      </c>
      <c r="AD46" s="53">
        <f t="shared" si="37"/>
        <v>1400000</v>
      </c>
      <c r="AE46" s="53">
        <f t="shared" si="36"/>
        <v>420000</v>
      </c>
      <c r="AF46" s="53">
        <f t="shared" si="41"/>
        <v>126000</v>
      </c>
      <c r="AG46" s="78">
        <f t="shared" si="43"/>
        <v>147000</v>
      </c>
      <c r="AH46" s="78">
        <v>0</v>
      </c>
      <c r="AI46" s="53"/>
      <c r="AJ46" s="52">
        <f t="shared" si="44"/>
        <v>367000</v>
      </c>
      <c r="CL46">
        <f t="shared" si="20"/>
        <v>38</v>
      </c>
      <c r="CM46" s="5">
        <f>IF($E$9&gt;=5,1,0)</f>
        <v>1</v>
      </c>
      <c r="CN46" s="31">
        <f t="shared" si="22"/>
        <v>5</v>
      </c>
      <c r="CO46" s="32">
        <f t="shared" si="53"/>
        <v>400000</v>
      </c>
      <c r="CP46" s="33">
        <f t="shared" si="54"/>
        <v>120000</v>
      </c>
      <c r="CQ46" s="31">
        <f t="shared" si="55"/>
        <v>15</v>
      </c>
      <c r="CR46" s="34">
        <f>CO46+CR45</f>
        <v>800000</v>
      </c>
      <c r="CS46" s="41"/>
      <c r="CT46" s="33"/>
      <c r="CU46" s="41">
        <f>VLOOKUP(CQ46,REF!$M$16:$N$18,2,1)</f>
        <v>0.15</v>
      </c>
      <c r="CV46" s="43"/>
      <c r="CW46" s="41">
        <f>VLOOKUP(SUM($CP$33:$CP$44),REF!$O$2:$P$5,2,1)*IF(AND(SUM('Advisor-Leader'!$CN$33:$CN$44)&gt;=24,'Advisor-Leader'!$E$9&gt;=7),1,0)</f>
        <v>1.2</v>
      </c>
      <c r="CX46" s="43"/>
      <c r="CY46" s="45">
        <f t="shared" si="39"/>
        <v>100000</v>
      </c>
      <c r="CZ46" s="43"/>
      <c r="DB46" s="32">
        <f>DB45</f>
        <v>20</v>
      </c>
      <c r="DC46" s="5">
        <f>IF($G$23&gt;=5,1,0)</f>
        <v>1</v>
      </c>
      <c r="DD46" s="32">
        <f t="shared" si="10"/>
        <v>40</v>
      </c>
      <c r="DE46" s="32">
        <f t="shared" si="17"/>
        <v>2800000</v>
      </c>
      <c r="DF46" s="32">
        <f t="shared" si="56"/>
        <v>840000</v>
      </c>
      <c r="DG46" s="40">
        <f t="shared" si="12"/>
        <v>0.15</v>
      </c>
      <c r="DH46" s="34">
        <f t="shared" si="57"/>
        <v>126000</v>
      </c>
      <c r="DI46" s="34">
        <f t="shared" si="32"/>
        <v>126000</v>
      </c>
      <c r="DJ46" t="str">
        <f t="shared" si="40"/>
        <v>U1</v>
      </c>
    </row>
    <row r="47" spans="2:114" x14ac:dyDescent="0.3">
      <c r="O47" s="66" t="s">
        <v>155</v>
      </c>
      <c r="P47" s="50">
        <f t="shared" si="45"/>
        <v>5</v>
      </c>
      <c r="Q47" s="51">
        <f t="shared" si="46"/>
        <v>400000</v>
      </c>
      <c r="R47" s="52">
        <f t="shared" si="47"/>
        <v>120000</v>
      </c>
      <c r="S47" s="52">
        <f t="shared" si="48"/>
        <v>54000</v>
      </c>
      <c r="T47" s="52">
        <f t="shared" si="49"/>
        <v>0</v>
      </c>
      <c r="U47" s="52">
        <f t="shared" si="50"/>
        <v>0</v>
      </c>
      <c r="V47" s="51">
        <f t="shared" si="51"/>
        <v>100000</v>
      </c>
      <c r="W47" s="53">
        <f t="shared" si="52"/>
        <v>120000</v>
      </c>
      <c r="X47" s="53">
        <f t="shared" si="29"/>
        <v>0</v>
      </c>
      <c r="Y47" s="53">
        <f t="shared" si="30"/>
        <v>0</v>
      </c>
      <c r="Z47" s="53">
        <f t="shared" si="14"/>
        <v>23</v>
      </c>
      <c r="AA47" s="53">
        <f>I$13</f>
        <v>3</v>
      </c>
      <c r="AB47" s="53">
        <f t="shared" si="34"/>
        <v>12</v>
      </c>
      <c r="AC47" s="53">
        <f t="shared" si="35"/>
        <v>24</v>
      </c>
      <c r="AD47" s="53">
        <f t="shared" si="37"/>
        <v>1680000</v>
      </c>
      <c r="AE47" s="53">
        <f t="shared" si="36"/>
        <v>504000</v>
      </c>
      <c r="AF47" s="53">
        <f t="shared" si="41"/>
        <v>189000</v>
      </c>
      <c r="AG47" s="78">
        <f t="shared" si="43"/>
        <v>176400</v>
      </c>
      <c r="AH47" s="78">
        <f>IF(DJ47="U1",SUM(AE45:AE47)*0.32,0)</f>
        <v>430080</v>
      </c>
      <c r="AI47" s="53">
        <f>IF(AND((AVERAGE(AB45:AB47)+1)&gt;=5,SUM(AD45:AD47,SUM(Q45:Q47)*0.5)&gt;=1200000),VLOOKUP(SUM(AD45:AD47,SUM(Q45:Q47)*0.5),REF!$G$25:$H$30,2,1)*SUM('Advisor-Leader'!AE45:AE47,SUM('Advisor-Leader'!R45:R47)*0.5))*IF('Advisor-Leader'!DJ47="U1",1,0)</f>
        <v>76200</v>
      </c>
      <c r="AJ47" s="52">
        <f t="shared" si="44"/>
        <v>1076680</v>
      </c>
      <c r="CL47">
        <f t="shared" si="20"/>
        <v>39</v>
      </c>
      <c r="CM47" s="5">
        <v>1</v>
      </c>
      <c r="CN47" s="31">
        <f t="shared" si="22"/>
        <v>5</v>
      </c>
      <c r="CO47" s="32">
        <f t="shared" si="53"/>
        <v>400000</v>
      </c>
      <c r="CP47" s="33">
        <f t="shared" si="54"/>
        <v>120000</v>
      </c>
      <c r="CQ47" s="31">
        <f t="shared" si="55"/>
        <v>15</v>
      </c>
      <c r="CR47" s="34">
        <f>CO47+CR46</f>
        <v>1200000</v>
      </c>
      <c r="CS47" s="41">
        <f>VLOOKUP(CR47,REF!$G$4:$H$10,2,1)</f>
        <v>0.15</v>
      </c>
      <c r="CT47" s="33">
        <f>CS47*SUM(CP45:CP47)</f>
        <v>54000</v>
      </c>
      <c r="CU47" s="41">
        <f>VLOOKUP(CQ47,REF!$M$16:$N$18,2,1)</f>
        <v>0.15</v>
      </c>
      <c r="CV47" s="43"/>
      <c r="CW47" s="41">
        <f>VLOOKUP(SUM($CP$33:$CP$44),REF!$O$2:$P$5,2,1)*IF(AND(SUM('Advisor-Leader'!$CN$33:$CN$44)&gt;=24,'Advisor-Leader'!$E$9&gt;=7),1,0)</f>
        <v>1.2</v>
      </c>
      <c r="CX47" s="43"/>
      <c r="CY47" s="45">
        <f t="shared" si="39"/>
        <v>100000</v>
      </c>
      <c r="CZ47" s="43">
        <f t="shared" ref="CZ47:CZ68" si="58">SUM(CY45:CY47)*0.4</f>
        <v>120000</v>
      </c>
      <c r="DB47" s="32">
        <f>DB46+I13</f>
        <v>23</v>
      </c>
      <c r="DC47" s="5">
        <v>1</v>
      </c>
      <c r="DD47" s="32">
        <f t="shared" si="10"/>
        <v>46</v>
      </c>
      <c r="DE47" s="32">
        <f t="shared" si="17"/>
        <v>3220000</v>
      </c>
      <c r="DF47" s="32">
        <f t="shared" si="56"/>
        <v>966000</v>
      </c>
      <c r="DG47" s="40">
        <f t="shared" si="12"/>
        <v>0.15</v>
      </c>
      <c r="DH47" s="34">
        <f t="shared" si="57"/>
        <v>144900</v>
      </c>
      <c r="DI47" s="34">
        <f t="shared" si="32"/>
        <v>144900</v>
      </c>
      <c r="DJ47" t="str">
        <f t="shared" si="40"/>
        <v>U1</v>
      </c>
    </row>
    <row r="48" spans="2:114" x14ac:dyDescent="0.3">
      <c r="O48" s="66" t="s">
        <v>156</v>
      </c>
      <c r="P48" s="50">
        <f t="shared" si="45"/>
        <v>5</v>
      </c>
      <c r="Q48" s="51">
        <f t="shared" si="46"/>
        <v>400000</v>
      </c>
      <c r="R48" s="52">
        <f t="shared" si="47"/>
        <v>120000</v>
      </c>
      <c r="S48" s="52">
        <f t="shared" si="48"/>
        <v>0</v>
      </c>
      <c r="T48" s="52">
        <f t="shared" si="49"/>
        <v>0</v>
      </c>
      <c r="U48" s="52">
        <f t="shared" si="50"/>
        <v>0</v>
      </c>
      <c r="V48" s="51">
        <f t="shared" si="51"/>
        <v>100000</v>
      </c>
      <c r="W48" s="53">
        <f t="shared" si="52"/>
        <v>0</v>
      </c>
      <c r="X48" s="53">
        <f t="shared" si="29"/>
        <v>0</v>
      </c>
      <c r="Y48" s="53">
        <f t="shared" si="30"/>
        <v>0</v>
      </c>
      <c r="Z48" s="53">
        <f t="shared" si="14"/>
        <v>23</v>
      </c>
      <c r="AA48" s="53">
        <v>0</v>
      </c>
      <c r="AB48" s="53">
        <f t="shared" si="34"/>
        <v>12</v>
      </c>
      <c r="AC48" s="53">
        <f t="shared" si="35"/>
        <v>24</v>
      </c>
      <c r="AD48" s="53">
        <f t="shared" si="37"/>
        <v>1680000</v>
      </c>
      <c r="AE48" s="53">
        <f t="shared" si="36"/>
        <v>504000</v>
      </c>
      <c r="AF48" s="53">
        <f t="shared" si="41"/>
        <v>189000</v>
      </c>
      <c r="AG48" s="78">
        <f t="shared" si="43"/>
        <v>176400</v>
      </c>
      <c r="AH48" s="78">
        <v>0</v>
      </c>
      <c r="AI48" s="53"/>
      <c r="AJ48" s="52">
        <f t="shared" si="44"/>
        <v>396400</v>
      </c>
      <c r="CL48">
        <f t="shared" si="20"/>
        <v>40</v>
      </c>
      <c r="CM48" s="5">
        <f>IF($E$9=12,1,0)</f>
        <v>1</v>
      </c>
      <c r="CN48" s="31">
        <f t="shared" si="22"/>
        <v>5</v>
      </c>
      <c r="CO48" s="32">
        <f t="shared" si="53"/>
        <v>400000</v>
      </c>
      <c r="CP48" s="33">
        <f t="shared" si="54"/>
        <v>120000</v>
      </c>
      <c r="CQ48" s="31">
        <f t="shared" si="55"/>
        <v>15</v>
      </c>
      <c r="CR48" s="34">
        <f>CO48</f>
        <v>400000</v>
      </c>
      <c r="CS48" s="41"/>
      <c r="CT48" s="33"/>
      <c r="CU48" s="41">
        <f>VLOOKUP(CQ48,REF!$M$16:$N$18,2,1)</f>
        <v>0.15</v>
      </c>
      <c r="CV48" s="43"/>
      <c r="CW48" s="41">
        <f>VLOOKUP(SUM($CP$33:$CP$44),REF!$O$2:$P$5,2,1)*IF(AND(SUM('Advisor-Leader'!$CN$33:$CN$44)&gt;=24,'Advisor-Leader'!$E$9&gt;=7),1,0)</f>
        <v>1.2</v>
      </c>
      <c r="CX48" s="43"/>
      <c r="CY48" s="45">
        <f t="shared" si="39"/>
        <v>100000</v>
      </c>
      <c r="CZ48" s="43"/>
      <c r="DB48" s="32">
        <f>DB47</f>
        <v>23</v>
      </c>
      <c r="DC48" s="5">
        <f>IF($G$23=12,1,0)</f>
        <v>0</v>
      </c>
      <c r="DD48" s="32">
        <f>DC48*$G$21*DB48</f>
        <v>0</v>
      </c>
      <c r="DE48" s="32">
        <f t="shared" si="17"/>
        <v>0</v>
      </c>
      <c r="DF48" s="32">
        <f t="shared" si="56"/>
        <v>0</v>
      </c>
      <c r="DG48" s="40">
        <f t="shared" si="12"/>
        <v>0.15</v>
      </c>
      <c r="DH48" s="34">
        <f t="shared" si="57"/>
        <v>0</v>
      </c>
      <c r="DI48" s="34">
        <f t="shared" si="32"/>
        <v>0</v>
      </c>
      <c r="DJ48" t="str">
        <f t="shared" si="40"/>
        <v>U1</v>
      </c>
    </row>
    <row r="49" spans="15:114" x14ac:dyDescent="0.3">
      <c r="O49" s="66" t="s">
        <v>157</v>
      </c>
      <c r="P49" s="50">
        <f t="shared" si="45"/>
        <v>5</v>
      </c>
      <c r="Q49" s="51">
        <f t="shared" si="46"/>
        <v>400000</v>
      </c>
      <c r="R49" s="52">
        <f t="shared" si="47"/>
        <v>120000</v>
      </c>
      <c r="S49" s="52">
        <f t="shared" si="48"/>
        <v>0</v>
      </c>
      <c r="T49" s="52">
        <f t="shared" si="49"/>
        <v>0</v>
      </c>
      <c r="U49" s="52">
        <f t="shared" si="50"/>
        <v>0</v>
      </c>
      <c r="V49" s="51">
        <f t="shared" si="51"/>
        <v>100000</v>
      </c>
      <c r="W49" s="53">
        <f t="shared" si="52"/>
        <v>0</v>
      </c>
      <c r="X49" s="53">
        <f t="shared" si="29"/>
        <v>0</v>
      </c>
      <c r="Y49" s="53">
        <f t="shared" si="30"/>
        <v>0</v>
      </c>
      <c r="Z49" s="53">
        <f t="shared" si="14"/>
        <v>23</v>
      </c>
      <c r="AA49" s="53">
        <v>0</v>
      </c>
      <c r="AB49" s="53">
        <f t="shared" si="34"/>
        <v>12</v>
      </c>
      <c r="AC49" s="53">
        <f t="shared" si="35"/>
        <v>24</v>
      </c>
      <c r="AD49" s="53">
        <f t="shared" si="37"/>
        <v>1680000</v>
      </c>
      <c r="AE49" s="53">
        <f t="shared" si="36"/>
        <v>504000</v>
      </c>
      <c r="AF49" s="53">
        <f t="shared" si="41"/>
        <v>189000</v>
      </c>
      <c r="AG49" s="78">
        <f t="shared" si="43"/>
        <v>176400</v>
      </c>
      <c r="AH49" s="78">
        <v>0</v>
      </c>
      <c r="AI49" s="53"/>
      <c r="AJ49" s="52">
        <f t="shared" si="44"/>
        <v>396400</v>
      </c>
      <c r="CL49">
        <f t="shared" si="20"/>
        <v>41</v>
      </c>
      <c r="CM49" s="5">
        <f>IF($E$9&gt;=10,1,0)</f>
        <v>1</v>
      </c>
      <c r="CN49" s="31">
        <f t="shared" si="22"/>
        <v>5</v>
      </c>
      <c r="CO49" s="32">
        <f t="shared" si="53"/>
        <v>400000</v>
      </c>
      <c r="CP49" s="33">
        <f t="shared" si="54"/>
        <v>120000</v>
      </c>
      <c r="CQ49" s="31">
        <f t="shared" si="55"/>
        <v>15</v>
      </c>
      <c r="CR49" s="34">
        <f>CO49+CR48</f>
        <v>800000</v>
      </c>
      <c r="CS49" s="41"/>
      <c r="CT49" s="33"/>
      <c r="CU49" s="41">
        <f>VLOOKUP(CQ49,REF!$M$16:$N$18,2,1)</f>
        <v>0.15</v>
      </c>
      <c r="CV49" s="43"/>
      <c r="CW49" s="41">
        <f>VLOOKUP(SUM($CP$33:$CP$44),REF!$O$2:$P$5,2,1)*IF(AND(SUM('Advisor-Leader'!$CN$33:$CN$44)&gt;=24,'Advisor-Leader'!$E$9&gt;=7),1,0)</f>
        <v>1.2</v>
      </c>
      <c r="CX49" s="43"/>
      <c r="CY49" s="45">
        <f t="shared" si="39"/>
        <v>100000</v>
      </c>
      <c r="CZ49" s="43"/>
      <c r="DB49" s="32">
        <f>DB48</f>
        <v>23</v>
      </c>
      <c r="DC49" s="5">
        <f>IF($G$23&gt;=10,1,0)</f>
        <v>0</v>
      </c>
      <c r="DD49" s="32">
        <f t="shared" ref="DD49:DD68" si="59">DC49*$G$21*DB49</f>
        <v>0</v>
      </c>
      <c r="DE49" s="32">
        <f t="shared" si="17"/>
        <v>0</v>
      </c>
      <c r="DF49" s="32">
        <f t="shared" ref="DF49:DF68" si="60">DE49*0.3</f>
        <v>0</v>
      </c>
      <c r="DG49" s="40">
        <f t="shared" si="12"/>
        <v>0.15</v>
      </c>
      <c r="DH49" s="34">
        <f t="shared" ref="DH49:DH68" si="61">DG49*DF49</f>
        <v>0</v>
      </c>
      <c r="DI49" s="34">
        <f t="shared" si="32"/>
        <v>0</v>
      </c>
      <c r="DJ49" t="str">
        <f t="shared" si="40"/>
        <v>U1</v>
      </c>
    </row>
    <row r="50" spans="15:114" x14ac:dyDescent="0.3">
      <c r="O50" s="66" t="s">
        <v>158</v>
      </c>
      <c r="P50" s="50">
        <f t="shared" si="45"/>
        <v>5</v>
      </c>
      <c r="Q50" s="51">
        <f t="shared" si="46"/>
        <v>400000</v>
      </c>
      <c r="R50" s="52">
        <f t="shared" si="47"/>
        <v>120000</v>
      </c>
      <c r="S50" s="52">
        <f t="shared" si="48"/>
        <v>54000</v>
      </c>
      <c r="T50" s="52">
        <f t="shared" si="49"/>
        <v>0</v>
      </c>
      <c r="U50" s="52">
        <f t="shared" si="50"/>
        <v>0</v>
      </c>
      <c r="V50" s="51">
        <f t="shared" si="51"/>
        <v>100000</v>
      </c>
      <c r="W50" s="53">
        <f t="shared" si="52"/>
        <v>120000</v>
      </c>
      <c r="X50" s="53">
        <f t="shared" si="29"/>
        <v>0</v>
      </c>
      <c r="Y50" s="53">
        <f t="shared" si="30"/>
        <v>0</v>
      </c>
      <c r="Z50" s="53">
        <f t="shared" si="14"/>
        <v>26</v>
      </c>
      <c r="AA50" s="53">
        <f>I$14</f>
        <v>3</v>
      </c>
      <c r="AB50" s="53">
        <f t="shared" si="34"/>
        <v>13</v>
      </c>
      <c r="AC50" s="53">
        <f t="shared" si="35"/>
        <v>26</v>
      </c>
      <c r="AD50" s="53">
        <f t="shared" si="37"/>
        <v>1820000</v>
      </c>
      <c r="AE50" s="53">
        <f t="shared" si="36"/>
        <v>546000</v>
      </c>
      <c r="AF50" s="53">
        <f t="shared" si="41"/>
        <v>217000</v>
      </c>
      <c r="AG50" s="78">
        <f t="shared" si="43"/>
        <v>191100</v>
      </c>
      <c r="AH50" s="78">
        <f>IF(DJ50="U1",SUM(AE48:AE50)*0.32,0)</f>
        <v>497280</v>
      </c>
      <c r="AI50" s="53">
        <f>IF(AND((AVERAGE(AB48:AB50)+1)&gt;=5,SUM(AD48:AD50,SUM(Q48:Q50)*0.5)&gt;=1200000),VLOOKUP(SUM(AD48:AD50,SUM(Q48:Q50)*0.5),REF!$G$25:$H$30,2,1)*SUM('Advisor-Leader'!AE48:AE50,SUM('Advisor-Leader'!R48:R50)*0.5))*IF('Advisor-Leader'!DJ50="U1",1,0)</f>
        <v>86700</v>
      </c>
      <c r="AJ50" s="52">
        <f t="shared" si="44"/>
        <v>1169080</v>
      </c>
      <c r="CL50">
        <f t="shared" si="20"/>
        <v>42</v>
      </c>
      <c r="CM50" s="5">
        <v>1</v>
      </c>
      <c r="CN50" s="31">
        <f t="shared" si="22"/>
        <v>5</v>
      </c>
      <c r="CO50" s="32">
        <f t="shared" si="53"/>
        <v>400000</v>
      </c>
      <c r="CP50" s="33">
        <f t="shared" si="54"/>
        <v>120000</v>
      </c>
      <c r="CQ50" s="31">
        <f t="shared" si="55"/>
        <v>15</v>
      </c>
      <c r="CR50" s="34">
        <f>CO50+CR49</f>
        <v>1200000</v>
      </c>
      <c r="CS50" s="41">
        <f>VLOOKUP(CR50,REF!$G$4:$H$10,2,1)</f>
        <v>0.15</v>
      </c>
      <c r="CT50" s="33">
        <f>CS50*SUM(CP48:CP50)</f>
        <v>54000</v>
      </c>
      <c r="CU50" s="41">
        <f>VLOOKUP(CQ50,REF!$M$16:$N$18,2,1)</f>
        <v>0.15</v>
      </c>
      <c r="CV50" s="43"/>
      <c r="CW50" s="41">
        <f>VLOOKUP(SUM($CP$33:$CP$44),REF!$O$2:$P$5,2,1)*IF(AND(SUM('Advisor-Leader'!$CN$33:$CN$44)&gt;=24,'Advisor-Leader'!$E$9&gt;=7),1,0)</f>
        <v>1.2</v>
      </c>
      <c r="CX50" s="43"/>
      <c r="CY50" s="45">
        <f t="shared" si="39"/>
        <v>100000</v>
      </c>
      <c r="CZ50" s="43">
        <f t="shared" si="58"/>
        <v>120000</v>
      </c>
      <c r="DB50" s="32">
        <f>DB49+I14</f>
        <v>26</v>
      </c>
      <c r="DC50" s="5">
        <v>1</v>
      </c>
      <c r="DD50" s="32">
        <f t="shared" si="59"/>
        <v>52</v>
      </c>
      <c r="DE50" s="32">
        <f t="shared" si="17"/>
        <v>3640000</v>
      </c>
      <c r="DF50" s="32">
        <f t="shared" si="60"/>
        <v>1092000</v>
      </c>
      <c r="DG50" s="40">
        <f t="shared" si="12"/>
        <v>0.15</v>
      </c>
      <c r="DH50" s="34">
        <f t="shared" si="61"/>
        <v>163800</v>
      </c>
      <c r="DI50" s="34">
        <f t="shared" si="32"/>
        <v>163800</v>
      </c>
      <c r="DJ50" t="str">
        <f t="shared" si="40"/>
        <v>U1</v>
      </c>
    </row>
    <row r="51" spans="15:114" x14ac:dyDescent="0.3">
      <c r="O51" s="66" t="s">
        <v>159</v>
      </c>
      <c r="P51" s="50">
        <f t="shared" si="45"/>
        <v>5</v>
      </c>
      <c r="Q51" s="51">
        <f t="shared" si="46"/>
        <v>400000</v>
      </c>
      <c r="R51" s="52">
        <f t="shared" si="47"/>
        <v>120000</v>
      </c>
      <c r="S51" s="52">
        <f t="shared" si="48"/>
        <v>0</v>
      </c>
      <c r="T51" s="52">
        <f t="shared" si="49"/>
        <v>0</v>
      </c>
      <c r="U51" s="52">
        <f t="shared" si="50"/>
        <v>0</v>
      </c>
      <c r="V51" s="51">
        <f t="shared" si="51"/>
        <v>100000</v>
      </c>
      <c r="W51" s="53">
        <f t="shared" si="52"/>
        <v>0</v>
      </c>
      <c r="X51" s="53">
        <f t="shared" si="29"/>
        <v>0</v>
      </c>
      <c r="Y51" s="53">
        <f t="shared" si="30"/>
        <v>0</v>
      </c>
      <c r="Z51" s="53">
        <f t="shared" si="14"/>
        <v>26</v>
      </c>
      <c r="AA51" s="53">
        <v>0</v>
      </c>
      <c r="AB51" s="53">
        <f t="shared" si="34"/>
        <v>13</v>
      </c>
      <c r="AC51" s="53">
        <f t="shared" si="35"/>
        <v>26</v>
      </c>
      <c r="AD51" s="53">
        <f t="shared" si="37"/>
        <v>1820000</v>
      </c>
      <c r="AE51" s="53">
        <f t="shared" si="36"/>
        <v>546000</v>
      </c>
      <c r="AF51" s="53">
        <f t="shared" si="41"/>
        <v>217000</v>
      </c>
      <c r="AG51" s="78">
        <f t="shared" si="43"/>
        <v>191100</v>
      </c>
      <c r="AH51" s="78">
        <v>0</v>
      </c>
      <c r="AI51" s="53"/>
      <c r="AJ51" s="52">
        <f t="shared" si="44"/>
        <v>411100</v>
      </c>
      <c r="CL51">
        <f t="shared" si="20"/>
        <v>43</v>
      </c>
      <c r="CM51" s="5">
        <f>IF($E$9&gt;=11,1,0)</f>
        <v>1</v>
      </c>
      <c r="CN51" s="31">
        <f t="shared" si="22"/>
        <v>5</v>
      </c>
      <c r="CO51" s="32">
        <f t="shared" si="53"/>
        <v>400000</v>
      </c>
      <c r="CP51" s="33">
        <f t="shared" si="54"/>
        <v>120000</v>
      </c>
      <c r="CQ51" s="31">
        <f t="shared" si="55"/>
        <v>15</v>
      </c>
      <c r="CR51" s="34">
        <f>CO51</f>
        <v>400000</v>
      </c>
      <c r="CS51" s="41"/>
      <c r="CT51" s="33"/>
      <c r="CU51" s="41">
        <f>VLOOKUP(CQ51,REF!$M$16:$N$18,2,1)</f>
        <v>0.15</v>
      </c>
      <c r="CV51" s="43"/>
      <c r="CW51" s="41">
        <f>VLOOKUP(SUM($CP$33:$CP$44),REF!$O$2:$P$5,2,1)*IF(AND(SUM('Advisor-Leader'!$CN$33:$CN$44)&gt;=24,'Advisor-Leader'!$E$9&gt;=7),1,0)</f>
        <v>1.2</v>
      </c>
      <c r="CX51" s="43"/>
      <c r="CY51" s="45">
        <f t="shared" si="39"/>
        <v>100000</v>
      </c>
      <c r="CZ51" s="43"/>
      <c r="DB51" s="32">
        <f>DB50</f>
        <v>26</v>
      </c>
      <c r="DC51" s="5">
        <f>IF($G$23&gt;=11,1,0)</f>
        <v>0</v>
      </c>
      <c r="DD51" s="32">
        <f t="shared" si="59"/>
        <v>0</v>
      </c>
      <c r="DE51" s="32">
        <f t="shared" si="17"/>
        <v>0</v>
      </c>
      <c r="DF51" s="32">
        <f t="shared" si="60"/>
        <v>0</v>
      </c>
      <c r="DG51" s="40">
        <f t="shared" si="12"/>
        <v>0.15</v>
      </c>
      <c r="DH51" s="34">
        <f t="shared" si="61"/>
        <v>0</v>
      </c>
      <c r="DI51" s="34">
        <f t="shared" si="32"/>
        <v>0</v>
      </c>
      <c r="DJ51" t="str">
        <f t="shared" si="40"/>
        <v>U1</v>
      </c>
    </row>
    <row r="52" spans="15:114" x14ac:dyDescent="0.3">
      <c r="O52" s="66" t="s">
        <v>160</v>
      </c>
      <c r="P52" s="50">
        <f t="shared" si="45"/>
        <v>5</v>
      </c>
      <c r="Q52" s="51">
        <f t="shared" si="46"/>
        <v>400000</v>
      </c>
      <c r="R52" s="52">
        <f t="shared" si="47"/>
        <v>120000</v>
      </c>
      <c r="S52" s="52">
        <f t="shared" si="48"/>
        <v>0</v>
      </c>
      <c r="T52" s="52">
        <f t="shared" si="49"/>
        <v>0</v>
      </c>
      <c r="U52" s="52">
        <f t="shared" si="50"/>
        <v>0</v>
      </c>
      <c r="V52" s="51">
        <f t="shared" si="51"/>
        <v>100000</v>
      </c>
      <c r="W52" s="53">
        <f t="shared" si="52"/>
        <v>0</v>
      </c>
      <c r="X52" s="53">
        <f t="shared" si="29"/>
        <v>0</v>
      </c>
      <c r="Y52" s="53">
        <f t="shared" si="30"/>
        <v>0</v>
      </c>
      <c r="Z52" s="53">
        <f t="shared" si="14"/>
        <v>26</v>
      </c>
      <c r="AA52" s="53">
        <v>0</v>
      </c>
      <c r="AB52" s="53">
        <f t="shared" si="34"/>
        <v>13</v>
      </c>
      <c r="AC52" s="53">
        <f t="shared" si="35"/>
        <v>26</v>
      </c>
      <c r="AD52" s="53">
        <f t="shared" si="37"/>
        <v>1820000</v>
      </c>
      <c r="AE52" s="53">
        <f t="shared" si="36"/>
        <v>546000</v>
      </c>
      <c r="AF52" s="53">
        <f t="shared" si="41"/>
        <v>217000</v>
      </c>
      <c r="AG52" s="78">
        <f t="shared" si="43"/>
        <v>191100</v>
      </c>
      <c r="AH52" s="78">
        <v>0</v>
      </c>
      <c r="AI52" s="53"/>
      <c r="AJ52" s="52">
        <f t="shared" si="44"/>
        <v>411100</v>
      </c>
      <c r="CL52">
        <f t="shared" si="20"/>
        <v>44</v>
      </c>
      <c r="CM52" s="5">
        <f>IF($E$9&gt;=9,1,0)</f>
        <v>1</v>
      </c>
      <c r="CN52" s="31">
        <f t="shared" si="22"/>
        <v>5</v>
      </c>
      <c r="CO52" s="32">
        <f t="shared" si="53"/>
        <v>400000</v>
      </c>
      <c r="CP52" s="33">
        <f t="shared" si="54"/>
        <v>120000</v>
      </c>
      <c r="CQ52" s="31">
        <f t="shared" si="55"/>
        <v>15</v>
      </c>
      <c r="CR52" s="34">
        <f>CO52+CR51</f>
        <v>800000</v>
      </c>
      <c r="CS52" s="41"/>
      <c r="CT52" s="33"/>
      <c r="CU52" s="41">
        <f>VLOOKUP(CQ52,REF!$M$16:$N$18,2,1)</f>
        <v>0.15</v>
      </c>
      <c r="CV52" s="43"/>
      <c r="CW52" s="41">
        <f>VLOOKUP(SUM($CP$33:$CP$44),REF!$O$2:$P$5,2,1)*IF(AND(SUM('Advisor-Leader'!$CN$33:$CN$44)&gt;=24,'Advisor-Leader'!$E$9&gt;=7),1,0)</f>
        <v>1.2</v>
      </c>
      <c r="CX52" s="43"/>
      <c r="CY52" s="45">
        <f t="shared" si="39"/>
        <v>100000</v>
      </c>
      <c r="CZ52" s="43"/>
      <c r="DB52" s="32">
        <f>DB51</f>
        <v>26</v>
      </c>
      <c r="DC52" s="5">
        <f>IF($G$23&gt;=9,1,0)</f>
        <v>0</v>
      </c>
      <c r="DD52" s="32">
        <f t="shared" si="59"/>
        <v>0</v>
      </c>
      <c r="DE52" s="32">
        <f t="shared" si="17"/>
        <v>0</v>
      </c>
      <c r="DF52" s="32">
        <f t="shared" si="60"/>
        <v>0</v>
      </c>
      <c r="DG52" s="40">
        <f t="shared" si="12"/>
        <v>0.15</v>
      </c>
      <c r="DH52" s="34">
        <f t="shared" si="61"/>
        <v>0</v>
      </c>
      <c r="DI52" s="34">
        <f t="shared" si="32"/>
        <v>0</v>
      </c>
      <c r="DJ52" t="str">
        <f t="shared" si="40"/>
        <v>U1</v>
      </c>
    </row>
    <row r="53" spans="15:114" x14ac:dyDescent="0.3">
      <c r="O53" s="66" t="s">
        <v>161</v>
      </c>
      <c r="P53" s="50">
        <f t="shared" si="45"/>
        <v>5</v>
      </c>
      <c r="Q53" s="51">
        <f t="shared" si="46"/>
        <v>400000</v>
      </c>
      <c r="R53" s="52">
        <f t="shared" si="47"/>
        <v>120000</v>
      </c>
      <c r="S53" s="52">
        <f t="shared" si="48"/>
        <v>54000</v>
      </c>
      <c r="T53" s="52">
        <f t="shared" si="49"/>
        <v>0</v>
      </c>
      <c r="U53" s="52">
        <f t="shared" si="50"/>
        <v>0</v>
      </c>
      <c r="V53" s="51">
        <f t="shared" si="51"/>
        <v>100000</v>
      </c>
      <c r="W53" s="53">
        <f t="shared" si="52"/>
        <v>120000</v>
      </c>
      <c r="X53" s="53">
        <f t="shared" si="29"/>
        <v>0</v>
      </c>
      <c r="Y53" s="53">
        <f t="shared" si="30"/>
        <v>0</v>
      </c>
      <c r="Z53" s="53">
        <f t="shared" si="14"/>
        <v>29</v>
      </c>
      <c r="AA53" s="53">
        <f>I$15</f>
        <v>3</v>
      </c>
      <c r="AB53" s="53">
        <f t="shared" si="34"/>
        <v>15</v>
      </c>
      <c r="AC53" s="53">
        <f t="shared" si="35"/>
        <v>30</v>
      </c>
      <c r="AD53" s="53">
        <f t="shared" si="37"/>
        <v>2100000</v>
      </c>
      <c r="AE53" s="53">
        <f t="shared" si="36"/>
        <v>630000</v>
      </c>
      <c r="AF53" s="53">
        <f t="shared" si="41"/>
        <v>280000</v>
      </c>
      <c r="AG53" s="78">
        <f t="shared" si="43"/>
        <v>220500</v>
      </c>
      <c r="AH53" s="78">
        <f>IF(DJ53="U1",SUM(AE51:AE53)*0.32,0)</f>
        <v>551040</v>
      </c>
      <c r="AI53" s="53">
        <f>IF(AND((AVERAGE(AB51:AB53)+1)&gt;=5,SUM(AD51:AD53,SUM(Q51:Q53)*0.5)&gt;=1200000),VLOOKUP(SUM(AD51:AD53,SUM(Q51:Q53)*0.5),REF!$G$25:$H$30,2,1)*SUM('Advisor-Leader'!AE51:AE53,SUM('Advisor-Leader'!R51:R53)*0.5))*IF('Advisor-Leader'!DJ53="U1",1,0)</f>
        <v>95100</v>
      </c>
      <c r="AJ53" s="52">
        <f t="shared" si="44"/>
        <v>1260640</v>
      </c>
      <c r="CL53">
        <f t="shared" si="20"/>
        <v>45</v>
      </c>
      <c r="CM53" s="5">
        <v>1</v>
      </c>
      <c r="CN53" s="31">
        <f t="shared" si="22"/>
        <v>5</v>
      </c>
      <c r="CO53" s="32">
        <f t="shared" si="53"/>
        <v>400000</v>
      </c>
      <c r="CP53" s="33">
        <f t="shared" si="54"/>
        <v>120000</v>
      </c>
      <c r="CQ53" s="31">
        <f t="shared" si="55"/>
        <v>15</v>
      </c>
      <c r="CR53" s="34">
        <f>CO53+CR52</f>
        <v>1200000</v>
      </c>
      <c r="CS53" s="41">
        <f>VLOOKUP(CR53,REF!$G$4:$H$10,2,1)</f>
        <v>0.15</v>
      </c>
      <c r="CT53" s="33">
        <f>CS53*SUM(CP51:CP53)</f>
        <v>54000</v>
      </c>
      <c r="CU53" s="41">
        <f>VLOOKUP(CQ53,REF!$M$16:$N$18,2,1)</f>
        <v>0.15</v>
      </c>
      <c r="CV53" s="43"/>
      <c r="CW53" s="41">
        <f>VLOOKUP(SUM($CP$33:$CP$44),REF!$O$2:$P$5,2,1)*IF(AND(SUM('Advisor-Leader'!$CN$33:$CN$44)&gt;=24,'Advisor-Leader'!$E$9&gt;=7),1,0)</f>
        <v>1.2</v>
      </c>
      <c r="CX53" s="43"/>
      <c r="CY53" s="45">
        <f t="shared" si="39"/>
        <v>100000</v>
      </c>
      <c r="CZ53" s="43">
        <f t="shared" si="58"/>
        <v>120000</v>
      </c>
      <c r="DB53" s="32">
        <f>DB52+I15</f>
        <v>29</v>
      </c>
      <c r="DC53" s="5">
        <v>1</v>
      </c>
      <c r="DD53" s="32">
        <f t="shared" si="59"/>
        <v>58</v>
      </c>
      <c r="DE53" s="32">
        <f t="shared" si="17"/>
        <v>4060000</v>
      </c>
      <c r="DF53" s="32">
        <f t="shared" si="60"/>
        <v>1218000</v>
      </c>
      <c r="DG53" s="40">
        <f t="shared" si="12"/>
        <v>0.15</v>
      </c>
      <c r="DH53" s="34">
        <f t="shared" si="61"/>
        <v>182700</v>
      </c>
      <c r="DI53" s="34">
        <f t="shared" si="32"/>
        <v>182700</v>
      </c>
      <c r="DJ53" t="str">
        <f t="shared" si="40"/>
        <v>U1</v>
      </c>
    </row>
    <row r="54" spans="15:114" x14ac:dyDescent="0.3">
      <c r="O54" s="66" t="s">
        <v>162</v>
      </c>
      <c r="P54" s="50">
        <f t="shared" si="45"/>
        <v>5</v>
      </c>
      <c r="Q54" s="51">
        <f t="shared" si="46"/>
        <v>400000</v>
      </c>
      <c r="R54" s="52">
        <f t="shared" si="47"/>
        <v>120000</v>
      </c>
      <c r="S54" s="52">
        <f t="shared" si="48"/>
        <v>0</v>
      </c>
      <c r="T54" s="52">
        <f t="shared" si="49"/>
        <v>0</v>
      </c>
      <c r="U54" s="52">
        <f t="shared" si="50"/>
        <v>0</v>
      </c>
      <c r="V54" s="51">
        <f t="shared" si="51"/>
        <v>100000</v>
      </c>
      <c r="W54" s="53">
        <f t="shared" si="52"/>
        <v>0</v>
      </c>
      <c r="X54" s="53">
        <f t="shared" si="29"/>
        <v>0</v>
      </c>
      <c r="Y54" s="53">
        <f t="shared" si="30"/>
        <v>0</v>
      </c>
      <c r="Z54" s="53">
        <f t="shared" si="14"/>
        <v>29</v>
      </c>
      <c r="AA54" s="53">
        <v>0</v>
      </c>
      <c r="AB54" s="53">
        <f t="shared" si="34"/>
        <v>15</v>
      </c>
      <c r="AC54" s="53">
        <f t="shared" si="35"/>
        <v>30</v>
      </c>
      <c r="AD54" s="53">
        <f t="shared" si="37"/>
        <v>2100000</v>
      </c>
      <c r="AE54" s="53">
        <f t="shared" si="36"/>
        <v>630000</v>
      </c>
      <c r="AF54" s="53">
        <f t="shared" si="41"/>
        <v>280000</v>
      </c>
      <c r="AG54" s="78">
        <f t="shared" si="43"/>
        <v>220500</v>
      </c>
      <c r="AH54" s="78">
        <v>0</v>
      </c>
      <c r="AI54" s="53"/>
      <c r="AJ54" s="52">
        <f t="shared" si="44"/>
        <v>440500</v>
      </c>
      <c r="CL54">
        <f t="shared" si="20"/>
        <v>46</v>
      </c>
      <c r="CM54" s="5">
        <f>IF($E$9&gt;=8,1,0)</f>
        <v>1</v>
      </c>
      <c r="CN54" s="31">
        <f t="shared" si="22"/>
        <v>5</v>
      </c>
      <c r="CO54" s="32">
        <f t="shared" si="53"/>
        <v>400000</v>
      </c>
      <c r="CP54" s="33">
        <f t="shared" si="54"/>
        <v>120000</v>
      </c>
      <c r="CQ54" s="31">
        <f t="shared" si="55"/>
        <v>15</v>
      </c>
      <c r="CR54" s="34">
        <f>CO54</f>
        <v>400000</v>
      </c>
      <c r="CS54" s="41"/>
      <c r="CT54" s="33"/>
      <c r="CU54" s="41">
        <f>VLOOKUP(CQ54,REF!$M$16:$N$18,2,1)</f>
        <v>0.15</v>
      </c>
      <c r="CV54" s="43"/>
      <c r="CW54" s="41">
        <f>VLOOKUP(SUM($CP$33:$CP$44),REF!$O$2:$P$5,2,1)*IF(AND(SUM('Advisor-Leader'!$CN$33:$CN$44)&gt;=24,'Advisor-Leader'!$E$9&gt;=7),1,0)</f>
        <v>1.2</v>
      </c>
      <c r="CX54" s="43"/>
      <c r="CY54" s="45">
        <f t="shared" si="39"/>
        <v>100000</v>
      </c>
      <c r="CZ54" s="43"/>
      <c r="DB54" s="32">
        <f>DB53</f>
        <v>29</v>
      </c>
      <c r="DC54" s="5">
        <f>IF($G$23&gt;=8,1,0)</f>
        <v>1</v>
      </c>
      <c r="DD54" s="32">
        <f t="shared" si="59"/>
        <v>58</v>
      </c>
      <c r="DE54" s="32">
        <f t="shared" si="17"/>
        <v>4060000</v>
      </c>
      <c r="DF54" s="32">
        <f t="shared" si="60"/>
        <v>1218000</v>
      </c>
      <c r="DG54" s="40">
        <f t="shared" si="12"/>
        <v>0.15</v>
      </c>
      <c r="DH54" s="34">
        <f t="shared" si="61"/>
        <v>182700</v>
      </c>
      <c r="DI54" s="34">
        <f t="shared" si="32"/>
        <v>182700</v>
      </c>
      <c r="DJ54" t="str">
        <f t="shared" si="40"/>
        <v>U1</v>
      </c>
    </row>
    <row r="55" spans="15:114" x14ac:dyDescent="0.3">
      <c r="O55" s="66" t="s">
        <v>163</v>
      </c>
      <c r="P55" s="50">
        <f t="shared" si="45"/>
        <v>5</v>
      </c>
      <c r="Q55" s="51">
        <f t="shared" si="46"/>
        <v>400000</v>
      </c>
      <c r="R55" s="52">
        <f t="shared" si="47"/>
        <v>120000</v>
      </c>
      <c r="S55" s="52">
        <f t="shared" si="48"/>
        <v>0</v>
      </c>
      <c r="T55" s="52">
        <f t="shared" si="49"/>
        <v>0</v>
      </c>
      <c r="U55" s="52">
        <f t="shared" si="50"/>
        <v>0</v>
      </c>
      <c r="V55" s="51">
        <f t="shared" si="51"/>
        <v>100000</v>
      </c>
      <c r="W55" s="53">
        <f t="shared" si="52"/>
        <v>0</v>
      </c>
      <c r="X55" s="53">
        <f t="shared" si="29"/>
        <v>0</v>
      </c>
      <c r="Y55" s="53">
        <f t="shared" si="30"/>
        <v>0</v>
      </c>
      <c r="Z55" s="53">
        <f t="shared" si="14"/>
        <v>29</v>
      </c>
      <c r="AA55" s="53">
        <v>0</v>
      </c>
      <c r="AB55" s="53">
        <f t="shared" si="34"/>
        <v>15</v>
      </c>
      <c r="AC55" s="53">
        <f t="shared" si="35"/>
        <v>30</v>
      </c>
      <c r="AD55" s="53">
        <f t="shared" si="37"/>
        <v>2100000</v>
      </c>
      <c r="AE55" s="53">
        <f t="shared" si="36"/>
        <v>630000</v>
      </c>
      <c r="AF55" s="53">
        <f t="shared" si="41"/>
        <v>280000</v>
      </c>
      <c r="AG55" s="78">
        <f t="shared" si="43"/>
        <v>220500</v>
      </c>
      <c r="AH55" s="78">
        <v>0</v>
      </c>
      <c r="AI55" s="53"/>
      <c r="AJ55" s="52">
        <f t="shared" si="44"/>
        <v>440500</v>
      </c>
      <c r="CL55">
        <f t="shared" si="20"/>
        <v>47</v>
      </c>
      <c r="CM55" s="5">
        <f>IF($E$9&gt;=7,1,0)</f>
        <v>1</v>
      </c>
      <c r="CN55" s="31">
        <f t="shared" si="22"/>
        <v>5</v>
      </c>
      <c r="CO55" s="32">
        <f t="shared" si="53"/>
        <v>400000</v>
      </c>
      <c r="CP55" s="33">
        <f t="shared" si="54"/>
        <v>120000</v>
      </c>
      <c r="CQ55" s="31">
        <f t="shared" si="55"/>
        <v>15</v>
      </c>
      <c r="CR55" s="34">
        <f>CO55+CR54</f>
        <v>800000</v>
      </c>
      <c r="CS55" s="41"/>
      <c r="CT55" s="33"/>
      <c r="CU55" s="41">
        <f>VLOOKUP(CQ55,REF!$M$16:$N$18,2,1)</f>
        <v>0.15</v>
      </c>
      <c r="CV55" s="43"/>
      <c r="CW55" s="41">
        <f>VLOOKUP(SUM($CP$33:$CP$44),REF!$O$2:$P$5,2,1)*IF(AND(SUM('Advisor-Leader'!$CN$33:$CN$44)&gt;=24,'Advisor-Leader'!$E$9&gt;=7),1,0)</f>
        <v>1.2</v>
      </c>
      <c r="CX55" s="43"/>
      <c r="CY55" s="45">
        <f t="shared" si="39"/>
        <v>100000</v>
      </c>
      <c r="CZ55" s="43"/>
      <c r="DB55" s="32">
        <f>DB54</f>
        <v>29</v>
      </c>
      <c r="DC55" s="5">
        <f>IF($G$23&gt;=7,1,0)</f>
        <v>1</v>
      </c>
      <c r="DD55" s="32">
        <f t="shared" si="59"/>
        <v>58</v>
      </c>
      <c r="DE55" s="32">
        <f t="shared" si="17"/>
        <v>4060000</v>
      </c>
      <c r="DF55" s="32">
        <f t="shared" si="60"/>
        <v>1218000</v>
      </c>
      <c r="DG55" s="40">
        <f t="shared" si="12"/>
        <v>0.15</v>
      </c>
      <c r="DH55" s="34">
        <f t="shared" si="61"/>
        <v>182700</v>
      </c>
      <c r="DI55" s="34">
        <f t="shared" si="32"/>
        <v>182700</v>
      </c>
      <c r="DJ55" t="str">
        <f t="shared" si="40"/>
        <v>U1</v>
      </c>
    </row>
    <row r="56" spans="15:114" x14ac:dyDescent="0.3">
      <c r="O56" s="66" t="s">
        <v>164</v>
      </c>
      <c r="P56" s="50">
        <f t="shared" si="45"/>
        <v>5</v>
      </c>
      <c r="Q56" s="51">
        <f t="shared" si="46"/>
        <v>400000</v>
      </c>
      <c r="R56" s="52">
        <f t="shared" si="47"/>
        <v>120000</v>
      </c>
      <c r="S56" s="52">
        <f t="shared" si="48"/>
        <v>54000</v>
      </c>
      <c r="T56" s="52">
        <f t="shared" si="49"/>
        <v>0</v>
      </c>
      <c r="U56" s="52">
        <f t="shared" si="50"/>
        <v>0</v>
      </c>
      <c r="V56" s="51">
        <f t="shared" si="51"/>
        <v>100000</v>
      </c>
      <c r="W56" s="53">
        <f t="shared" si="52"/>
        <v>120000</v>
      </c>
      <c r="X56" s="53">
        <f t="shared" si="29"/>
        <v>0</v>
      </c>
      <c r="Y56" s="53">
        <f t="shared" si="30"/>
        <v>0</v>
      </c>
      <c r="Z56" s="53">
        <f t="shared" si="14"/>
        <v>32</v>
      </c>
      <c r="AA56" s="53">
        <f>I$16</f>
        <v>3</v>
      </c>
      <c r="AB56" s="53">
        <f t="shared" si="34"/>
        <v>16</v>
      </c>
      <c r="AC56" s="53">
        <f t="shared" si="35"/>
        <v>32</v>
      </c>
      <c r="AD56" s="53">
        <f t="shared" si="37"/>
        <v>2240000</v>
      </c>
      <c r="AE56" s="53">
        <f t="shared" si="36"/>
        <v>672000</v>
      </c>
      <c r="AF56" s="53">
        <f t="shared" si="41"/>
        <v>308000</v>
      </c>
      <c r="AG56" s="78">
        <f t="shared" si="43"/>
        <v>235199.99999999997</v>
      </c>
      <c r="AH56" s="78">
        <f>IF(DJ56="U1",SUM(AE54:AE56)*0.32,0)</f>
        <v>618240</v>
      </c>
      <c r="AI56" s="53">
        <f>IF(AND((AVERAGE(AB54:AB56)+1)&gt;=5,SUM(AD54:AD56,SUM(Q54:Q56)*0.5)&gt;=1200000),VLOOKUP(SUM(AD54:AD56,SUM(Q54:Q56)*0.5),REF!$G$25:$H$30,2,1)*SUM('Advisor-Leader'!AE54:AE56,SUM('Advisor-Leader'!R54:R56)*0.5))*IF('Advisor-Leader'!DJ56="U1",1,0)</f>
        <v>105600</v>
      </c>
      <c r="AJ56" s="52">
        <f t="shared" si="44"/>
        <v>1353040</v>
      </c>
      <c r="AL56" s="34">
        <f>SUM(AD45:AD56)</f>
        <v>21840000</v>
      </c>
      <c r="AM56" s="74">
        <f>VLOOKUP(AL56,REF!$U$10:$V$12,2,1)</f>
        <v>0.2</v>
      </c>
      <c r="CL56">
        <f t="shared" si="20"/>
        <v>48</v>
      </c>
      <c r="CM56" s="5">
        <v>1</v>
      </c>
      <c r="CN56" s="31">
        <f t="shared" si="22"/>
        <v>5</v>
      </c>
      <c r="CO56" s="32">
        <f t="shared" si="53"/>
        <v>400000</v>
      </c>
      <c r="CP56" s="33">
        <f t="shared" si="54"/>
        <v>120000</v>
      </c>
      <c r="CQ56" s="31">
        <f t="shared" si="55"/>
        <v>15</v>
      </c>
      <c r="CR56" s="34">
        <f>CO56+CR55</f>
        <v>1200000</v>
      </c>
      <c r="CS56" s="41">
        <f>VLOOKUP(CR56,REF!$G$4:$H$10,2,1)</f>
        <v>0.15</v>
      </c>
      <c r="CT56" s="33">
        <f>CS56*SUM(CP54:CP56)</f>
        <v>54000</v>
      </c>
      <c r="CU56" s="41">
        <f>VLOOKUP(CQ56,REF!$M$16:$N$18,2,1)</f>
        <v>0.15</v>
      </c>
      <c r="CV56" s="43"/>
      <c r="CW56" s="41">
        <f>VLOOKUP(SUM($CP$33:$CP$44),REF!$O$2:$P$5,2,1)*IF(AND(SUM('Advisor-Leader'!$CN$33:$CN$44)&gt;=24,'Advisor-Leader'!$E$9&gt;=7),1,0)</f>
        <v>1.2</v>
      </c>
      <c r="CX56" s="43"/>
      <c r="CY56" s="45">
        <f t="shared" si="39"/>
        <v>100000</v>
      </c>
      <c r="CZ56" s="43">
        <f t="shared" si="58"/>
        <v>120000</v>
      </c>
      <c r="DB56" s="32">
        <f>DB55+I16</f>
        <v>32</v>
      </c>
      <c r="DC56" s="5">
        <v>1</v>
      </c>
      <c r="DD56" s="32">
        <f t="shared" si="59"/>
        <v>64</v>
      </c>
      <c r="DE56" s="32">
        <f t="shared" si="17"/>
        <v>4480000</v>
      </c>
      <c r="DF56" s="32">
        <f t="shared" si="60"/>
        <v>1344000</v>
      </c>
      <c r="DG56" s="40">
        <f t="shared" si="12"/>
        <v>0.15</v>
      </c>
      <c r="DH56" s="34">
        <f t="shared" si="61"/>
        <v>201600</v>
      </c>
      <c r="DI56" s="34">
        <f t="shared" si="32"/>
        <v>201600</v>
      </c>
      <c r="DJ56" t="str">
        <f t="shared" si="40"/>
        <v>U1</v>
      </c>
    </row>
    <row r="57" spans="15:114" x14ac:dyDescent="0.3">
      <c r="O57" s="66" t="s">
        <v>165</v>
      </c>
      <c r="P57" s="50">
        <f t="shared" si="45"/>
        <v>5</v>
      </c>
      <c r="Q57" s="51">
        <f t="shared" si="46"/>
        <v>400000</v>
      </c>
      <c r="R57" s="52">
        <f t="shared" si="47"/>
        <v>120000</v>
      </c>
      <c r="S57" s="52">
        <f t="shared" si="48"/>
        <v>0</v>
      </c>
      <c r="T57" s="52">
        <f t="shared" si="49"/>
        <v>0</v>
      </c>
      <c r="U57" s="52">
        <f t="shared" si="50"/>
        <v>0</v>
      </c>
      <c r="V57" s="51">
        <f t="shared" si="51"/>
        <v>100000</v>
      </c>
      <c r="W57" s="53">
        <f t="shared" si="52"/>
        <v>0</v>
      </c>
      <c r="X57" s="53">
        <f t="shared" si="29"/>
        <v>0</v>
      </c>
      <c r="Y57" s="53">
        <f t="shared" si="30"/>
        <v>0</v>
      </c>
      <c r="Z57" s="53">
        <f t="shared" si="14"/>
        <v>32</v>
      </c>
      <c r="AA57" s="53">
        <v>0</v>
      </c>
      <c r="AB57" s="53">
        <f t="shared" si="34"/>
        <v>16</v>
      </c>
      <c r="AC57" s="53">
        <f t="shared" si="35"/>
        <v>32</v>
      </c>
      <c r="AD57" s="53">
        <f t="shared" si="37"/>
        <v>2240000</v>
      </c>
      <c r="AE57" s="53">
        <f t="shared" si="36"/>
        <v>672000</v>
      </c>
      <c r="AF57" s="53">
        <f t="shared" si="41"/>
        <v>308000</v>
      </c>
      <c r="AG57" s="78">
        <f t="shared" si="43"/>
        <v>235199.99999999997</v>
      </c>
      <c r="AH57" s="78">
        <v>0</v>
      </c>
      <c r="AI57" s="53"/>
      <c r="AJ57" s="52">
        <f t="shared" si="44"/>
        <v>455200</v>
      </c>
      <c r="CL57">
        <f t="shared" si="20"/>
        <v>49</v>
      </c>
      <c r="CM57" s="5">
        <f>IF($E$9&gt;=6,1,0)</f>
        <v>1</v>
      </c>
      <c r="CN57" s="31">
        <f t="shared" si="22"/>
        <v>5</v>
      </c>
      <c r="CO57" s="32">
        <f t="shared" si="53"/>
        <v>400000</v>
      </c>
      <c r="CP57" s="33">
        <f t="shared" si="54"/>
        <v>120000</v>
      </c>
      <c r="CQ57" s="31">
        <f t="shared" si="55"/>
        <v>15</v>
      </c>
      <c r="CR57" s="34">
        <f>CO57</f>
        <v>400000</v>
      </c>
      <c r="CS57" s="41"/>
      <c r="CT57" s="33"/>
      <c r="CU57" s="41">
        <f>VLOOKUP(CQ57,REF!$M$16:$N$18,2,1)</f>
        <v>0.15</v>
      </c>
      <c r="CV57" s="43"/>
      <c r="CW57" s="41">
        <f>VLOOKUP(SUM($CP$45:$CP$56),REF!$O$2:$P$5,2,1)*IF(AND(SUM('Advisor-Leader'!$CN$45:$CN$56)&gt;=24,'Advisor-Leader'!$E$9&gt;=7),1,0)</f>
        <v>1.2</v>
      </c>
      <c r="CX57" s="43"/>
      <c r="CY57" s="45">
        <f t="shared" si="39"/>
        <v>100000</v>
      </c>
      <c r="CZ57" s="43"/>
      <c r="DB57" s="32">
        <f>DB56</f>
        <v>32</v>
      </c>
      <c r="DC57" s="5">
        <f>IF($G$23&gt;=6,1,0)</f>
        <v>1</v>
      </c>
      <c r="DD57" s="32">
        <f t="shared" si="59"/>
        <v>64</v>
      </c>
      <c r="DE57" s="32">
        <f t="shared" si="17"/>
        <v>4480000</v>
      </c>
      <c r="DF57" s="32">
        <f t="shared" si="60"/>
        <v>1344000</v>
      </c>
      <c r="DG57" s="40">
        <f t="shared" si="12"/>
        <v>0.15</v>
      </c>
      <c r="DH57" s="34">
        <f t="shared" si="61"/>
        <v>201600</v>
      </c>
      <c r="DI57" s="34">
        <f t="shared" si="32"/>
        <v>201600</v>
      </c>
      <c r="DJ57" t="str">
        <f t="shared" si="40"/>
        <v>U1</v>
      </c>
    </row>
    <row r="58" spans="15:114" x14ac:dyDescent="0.3">
      <c r="O58" s="66" t="s">
        <v>166</v>
      </c>
      <c r="P58" s="50">
        <f t="shared" si="45"/>
        <v>5</v>
      </c>
      <c r="Q58" s="51">
        <f t="shared" si="46"/>
        <v>400000</v>
      </c>
      <c r="R58" s="52">
        <f t="shared" si="47"/>
        <v>120000</v>
      </c>
      <c r="S58" s="52">
        <f t="shared" si="48"/>
        <v>0</v>
      </c>
      <c r="T58" s="52">
        <f t="shared" si="49"/>
        <v>0</v>
      </c>
      <c r="U58" s="52">
        <f t="shared" si="50"/>
        <v>0</v>
      </c>
      <c r="V58" s="51">
        <f t="shared" si="51"/>
        <v>100000</v>
      </c>
      <c r="W58" s="53">
        <f t="shared" si="52"/>
        <v>0</v>
      </c>
      <c r="X58" s="53">
        <f t="shared" si="29"/>
        <v>0</v>
      </c>
      <c r="Y58" s="53">
        <f t="shared" si="30"/>
        <v>0</v>
      </c>
      <c r="Z58" s="53">
        <f t="shared" si="14"/>
        <v>32</v>
      </c>
      <c r="AA58" s="53">
        <v>0</v>
      </c>
      <c r="AB58" s="53">
        <f t="shared" si="34"/>
        <v>16</v>
      </c>
      <c r="AC58" s="53">
        <f t="shared" si="35"/>
        <v>32</v>
      </c>
      <c r="AD58" s="53">
        <f t="shared" si="37"/>
        <v>2240000</v>
      </c>
      <c r="AE58" s="53">
        <f t="shared" si="36"/>
        <v>672000</v>
      </c>
      <c r="AF58" s="53">
        <f t="shared" si="41"/>
        <v>308000</v>
      </c>
      <c r="AG58" s="78">
        <f t="shared" si="43"/>
        <v>235199.99999999997</v>
      </c>
      <c r="AH58" s="78">
        <v>0</v>
      </c>
      <c r="AI58" s="53"/>
      <c r="AJ58" s="52">
        <f t="shared" si="44"/>
        <v>455200</v>
      </c>
      <c r="CL58">
        <f t="shared" si="20"/>
        <v>50</v>
      </c>
      <c r="CM58" s="5">
        <f>IF($E$9&gt;=5,1,0)</f>
        <v>1</v>
      </c>
      <c r="CN58" s="31">
        <f t="shared" si="22"/>
        <v>5</v>
      </c>
      <c r="CO58" s="32">
        <f t="shared" si="53"/>
        <v>400000</v>
      </c>
      <c r="CP58" s="33">
        <f t="shared" si="54"/>
        <v>120000</v>
      </c>
      <c r="CQ58" s="31">
        <f t="shared" si="55"/>
        <v>15</v>
      </c>
      <c r="CR58" s="34">
        <f>CO58+CR57</f>
        <v>800000</v>
      </c>
      <c r="CS58" s="41"/>
      <c r="CT58" s="33"/>
      <c r="CU58" s="41">
        <f>VLOOKUP(CQ58,REF!$M$16:$N$18,2,1)</f>
        <v>0.15</v>
      </c>
      <c r="CV58" s="43"/>
      <c r="CW58" s="41">
        <f>VLOOKUP(SUM($CP$45:$CP$56),REF!$O$2:$P$5,2,1)*IF(AND(SUM('Advisor-Leader'!$CN$45:$CN$56)&gt;=24,'Advisor-Leader'!$E$9&gt;=7),1,0)</f>
        <v>1.2</v>
      </c>
      <c r="CX58" s="43"/>
      <c r="CY58" s="45">
        <f t="shared" si="39"/>
        <v>100000</v>
      </c>
      <c r="CZ58" s="43"/>
      <c r="DB58" s="32">
        <f>DB57</f>
        <v>32</v>
      </c>
      <c r="DC58" s="5">
        <f>IF($G$23&gt;=5,1,0)</f>
        <v>1</v>
      </c>
      <c r="DD58" s="32">
        <f t="shared" si="59"/>
        <v>64</v>
      </c>
      <c r="DE58" s="32">
        <f t="shared" si="17"/>
        <v>4480000</v>
      </c>
      <c r="DF58" s="32">
        <f t="shared" si="60"/>
        <v>1344000</v>
      </c>
      <c r="DG58" s="40">
        <f t="shared" si="12"/>
        <v>0.15</v>
      </c>
      <c r="DH58" s="34">
        <f t="shared" si="61"/>
        <v>201600</v>
      </c>
      <c r="DI58" s="34">
        <f t="shared" si="32"/>
        <v>201600</v>
      </c>
      <c r="DJ58" t="str">
        <f t="shared" si="40"/>
        <v>U1</v>
      </c>
    </row>
    <row r="59" spans="15:114" x14ac:dyDescent="0.3">
      <c r="O59" s="66" t="s">
        <v>167</v>
      </c>
      <c r="P59" s="50">
        <f t="shared" si="45"/>
        <v>5</v>
      </c>
      <c r="Q59" s="51">
        <f t="shared" si="46"/>
        <v>400000</v>
      </c>
      <c r="R59" s="52">
        <f t="shared" si="47"/>
        <v>120000</v>
      </c>
      <c r="S59" s="52">
        <f t="shared" si="48"/>
        <v>54000</v>
      </c>
      <c r="T59" s="52">
        <f t="shared" si="49"/>
        <v>0</v>
      </c>
      <c r="U59" s="52">
        <f t="shared" si="50"/>
        <v>0</v>
      </c>
      <c r="V59" s="51">
        <f t="shared" si="51"/>
        <v>100000</v>
      </c>
      <c r="W59" s="53">
        <f t="shared" si="52"/>
        <v>120000</v>
      </c>
      <c r="X59" s="53">
        <f t="shared" si="29"/>
        <v>0</v>
      </c>
      <c r="Y59" s="53">
        <f t="shared" si="30"/>
        <v>0</v>
      </c>
      <c r="Z59" s="53">
        <f t="shared" si="14"/>
        <v>35</v>
      </c>
      <c r="AA59" s="53">
        <f>K$13</f>
        <v>3</v>
      </c>
      <c r="AB59" s="53">
        <f t="shared" si="34"/>
        <v>18</v>
      </c>
      <c r="AC59" s="53">
        <f t="shared" si="35"/>
        <v>36</v>
      </c>
      <c r="AD59" s="53">
        <f t="shared" si="37"/>
        <v>2520000</v>
      </c>
      <c r="AE59" s="53">
        <f t="shared" si="36"/>
        <v>756000</v>
      </c>
      <c r="AF59" s="53">
        <f t="shared" si="41"/>
        <v>378000</v>
      </c>
      <c r="AG59" s="78">
        <f t="shared" si="43"/>
        <v>264600</v>
      </c>
      <c r="AH59" s="78">
        <f>IF(DJ59="U1",SUM(AE57:AE59)*0.32,0)</f>
        <v>672000</v>
      </c>
      <c r="AI59" s="53">
        <f>IF(AND((AVERAGE(AB57:AB59)+1)&gt;=5,SUM(AD57:AD59,SUM(Q57:Q59)*0.5)&gt;=1200000),VLOOKUP(SUM(AD57:AD59,SUM(Q57:Q59)*0.5),REF!$G$25:$H$30,2,1)*SUM('Advisor-Leader'!AE57:AE59,SUM('Advisor-Leader'!R57:R59)*0.5))*IF('Advisor-Leader'!DJ59="U1",1,0)</f>
        <v>114000</v>
      </c>
      <c r="AJ59" s="52">
        <f t="shared" si="44"/>
        <v>1444600</v>
      </c>
      <c r="CL59">
        <f t="shared" si="20"/>
        <v>51</v>
      </c>
      <c r="CM59" s="5">
        <v>1</v>
      </c>
      <c r="CN59" s="31">
        <f t="shared" si="22"/>
        <v>5</v>
      </c>
      <c r="CO59" s="32">
        <f t="shared" si="53"/>
        <v>400000</v>
      </c>
      <c r="CP59" s="33">
        <f t="shared" si="54"/>
        <v>120000</v>
      </c>
      <c r="CQ59" s="31">
        <f t="shared" si="55"/>
        <v>15</v>
      </c>
      <c r="CR59" s="34">
        <f>CO59+CR58</f>
        <v>1200000</v>
      </c>
      <c r="CS59" s="41">
        <f>VLOOKUP(CR59,REF!$G$4:$H$10,2,1)</f>
        <v>0.15</v>
      </c>
      <c r="CT59" s="33">
        <f>CS59*SUM(CP57:CP59)</f>
        <v>54000</v>
      </c>
      <c r="CU59" s="41">
        <f>VLOOKUP(CQ59,REF!$M$16:$N$18,2,1)</f>
        <v>0.15</v>
      </c>
      <c r="CV59" s="43"/>
      <c r="CW59" s="41">
        <f>VLOOKUP(SUM($CP$45:$CP$56),REF!$O$2:$P$5,2,1)*IF(AND(SUM('Advisor-Leader'!$CN$45:$CN$56)&gt;=24,'Advisor-Leader'!$E$9&gt;=7),1,0)</f>
        <v>1.2</v>
      </c>
      <c r="CX59" s="43"/>
      <c r="CY59" s="45">
        <f t="shared" si="39"/>
        <v>100000</v>
      </c>
      <c r="CZ59" s="43">
        <f t="shared" si="58"/>
        <v>120000</v>
      </c>
      <c r="DB59" s="32">
        <f>DB58+K13</f>
        <v>35</v>
      </c>
      <c r="DC59" s="5">
        <v>1</v>
      </c>
      <c r="DD59" s="32">
        <f t="shared" si="59"/>
        <v>70</v>
      </c>
      <c r="DE59" s="32">
        <f t="shared" si="17"/>
        <v>4900000</v>
      </c>
      <c r="DF59" s="32">
        <f t="shared" si="60"/>
        <v>1470000</v>
      </c>
      <c r="DG59" s="40">
        <f t="shared" si="12"/>
        <v>0.15</v>
      </c>
      <c r="DH59" s="34">
        <f t="shared" si="61"/>
        <v>220500</v>
      </c>
      <c r="DI59" s="34">
        <f t="shared" si="32"/>
        <v>220500</v>
      </c>
      <c r="DJ59" t="str">
        <f t="shared" si="40"/>
        <v>U1</v>
      </c>
    </row>
    <row r="60" spans="15:114" x14ac:dyDescent="0.3">
      <c r="O60" s="66" t="s">
        <v>168</v>
      </c>
      <c r="P60" s="50">
        <f t="shared" si="45"/>
        <v>5</v>
      </c>
      <c r="Q60" s="51">
        <f t="shared" si="46"/>
        <v>400000</v>
      </c>
      <c r="R60" s="52">
        <f t="shared" si="47"/>
        <v>120000</v>
      </c>
      <c r="S60" s="52">
        <f t="shared" si="48"/>
        <v>0</v>
      </c>
      <c r="T60" s="52">
        <f t="shared" si="49"/>
        <v>0</v>
      </c>
      <c r="U60" s="52">
        <f t="shared" si="50"/>
        <v>0</v>
      </c>
      <c r="V60" s="51">
        <f t="shared" si="51"/>
        <v>100000</v>
      </c>
      <c r="W60" s="53">
        <f t="shared" si="52"/>
        <v>0</v>
      </c>
      <c r="X60" s="53">
        <f t="shared" si="29"/>
        <v>0</v>
      </c>
      <c r="Y60" s="53">
        <f t="shared" si="30"/>
        <v>0</v>
      </c>
      <c r="Z60" s="53">
        <f t="shared" si="14"/>
        <v>35</v>
      </c>
      <c r="AA60" s="53">
        <v>0</v>
      </c>
      <c r="AB60" s="53">
        <f t="shared" si="34"/>
        <v>18</v>
      </c>
      <c r="AC60" s="53">
        <f t="shared" si="35"/>
        <v>36</v>
      </c>
      <c r="AD60" s="53">
        <f t="shared" si="37"/>
        <v>2520000</v>
      </c>
      <c r="AE60" s="53">
        <f t="shared" si="36"/>
        <v>756000</v>
      </c>
      <c r="AF60" s="53">
        <f t="shared" si="41"/>
        <v>378000</v>
      </c>
      <c r="AG60" s="78">
        <f t="shared" si="43"/>
        <v>264600</v>
      </c>
      <c r="AH60" s="78">
        <v>0</v>
      </c>
      <c r="AI60" s="53"/>
      <c r="AJ60" s="52">
        <f t="shared" si="44"/>
        <v>484600</v>
      </c>
      <c r="CL60">
        <f t="shared" si="20"/>
        <v>52</v>
      </c>
      <c r="CM60" s="5">
        <f>IF($E$9=12,1,0)</f>
        <v>1</v>
      </c>
      <c r="CN60" s="31">
        <f t="shared" si="22"/>
        <v>5</v>
      </c>
      <c r="CO60" s="32">
        <f t="shared" si="53"/>
        <v>400000</v>
      </c>
      <c r="CP60" s="33">
        <f t="shared" si="54"/>
        <v>120000</v>
      </c>
      <c r="CQ60" s="31">
        <f t="shared" si="55"/>
        <v>15</v>
      </c>
      <c r="CR60" s="34">
        <f>CO60</f>
        <v>400000</v>
      </c>
      <c r="CS60" s="41"/>
      <c r="CT60" s="33"/>
      <c r="CU60" s="41">
        <f>VLOOKUP(CQ60,REF!$M$16:$N$18,2,1)</f>
        <v>0.15</v>
      </c>
      <c r="CV60" s="43"/>
      <c r="CW60" s="41">
        <f>VLOOKUP(SUM($CP$45:$CP$56),REF!$O$2:$P$5,2,1)*IF(AND(SUM('Advisor-Leader'!$CN$45:$CN$56)&gt;=24,'Advisor-Leader'!$E$9&gt;=7),1,0)</f>
        <v>1.2</v>
      </c>
      <c r="CX60" s="43"/>
      <c r="CY60" s="45">
        <f t="shared" si="39"/>
        <v>100000</v>
      </c>
      <c r="CZ60" s="43"/>
      <c r="DB60" s="32">
        <f>DB59</f>
        <v>35</v>
      </c>
      <c r="DC60" s="5">
        <f>IF($G$23=12,1,0)</f>
        <v>0</v>
      </c>
      <c r="DD60" s="32">
        <f t="shared" si="59"/>
        <v>0</v>
      </c>
      <c r="DE60" s="32">
        <f t="shared" si="17"/>
        <v>0</v>
      </c>
      <c r="DF60" s="32">
        <f t="shared" si="60"/>
        <v>0</v>
      </c>
      <c r="DG60" s="40">
        <f t="shared" si="12"/>
        <v>0.15</v>
      </c>
      <c r="DH60" s="34">
        <f t="shared" si="61"/>
        <v>0</v>
      </c>
      <c r="DI60" s="34">
        <f t="shared" si="32"/>
        <v>0</v>
      </c>
      <c r="DJ60" t="str">
        <f t="shared" si="40"/>
        <v>U1</v>
      </c>
    </row>
    <row r="61" spans="15:114" x14ac:dyDescent="0.3">
      <c r="O61" s="66" t="s">
        <v>169</v>
      </c>
      <c r="P61" s="50">
        <f t="shared" si="45"/>
        <v>5</v>
      </c>
      <c r="Q61" s="51">
        <f t="shared" si="46"/>
        <v>400000</v>
      </c>
      <c r="R61" s="52">
        <f t="shared" si="47"/>
        <v>120000</v>
      </c>
      <c r="S61" s="52">
        <f t="shared" si="48"/>
        <v>0</v>
      </c>
      <c r="T61" s="52">
        <f t="shared" si="49"/>
        <v>0</v>
      </c>
      <c r="U61" s="52">
        <f t="shared" si="50"/>
        <v>0</v>
      </c>
      <c r="V61" s="51">
        <f t="shared" si="51"/>
        <v>100000</v>
      </c>
      <c r="W61" s="53">
        <f t="shared" si="52"/>
        <v>0</v>
      </c>
      <c r="X61" s="53">
        <f t="shared" si="29"/>
        <v>0</v>
      </c>
      <c r="Y61" s="53">
        <f t="shared" si="30"/>
        <v>0</v>
      </c>
      <c r="Z61" s="53">
        <f t="shared" si="14"/>
        <v>35</v>
      </c>
      <c r="AA61" s="53">
        <v>0</v>
      </c>
      <c r="AB61" s="53">
        <f t="shared" si="34"/>
        <v>18</v>
      </c>
      <c r="AC61" s="53">
        <f t="shared" si="35"/>
        <v>36</v>
      </c>
      <c r="AD61" s="53">
        <f t="shared" si="37"/>
        <v>2520000</v>
      </c>
      <c r="AE61" s="53">
        <f t="shared" si="36"/>
        <v>756000</v>
      </c>
      <c r="AF61" s="53">
        <f t="shared" si="41"/>
        <v>378000</v>
      </c>
      <c r="AG61" s="78">
        <f t="shared" si="43"/>
        <v>264600</v>
      </c>
      <c r="AH61" s="78">
        <v>0</v>
      </c>
      <c r="AI61" s="53"/>
      <c r="AJ61" s="52">
        <f t="shared" si="44"/>
        <v>484600</v>
      </c>
      <c r="CL61">
        <f t="shared" si="20"/>
        <v>53</v>
      </c>
      <c r="CM61" s="5">
        <f>IF($E$9&gt;=10,1,0)</f>
        <v>1</v>
      </c>
      <c r="CN61" s="31">
        <f t="shared" si="22"/>
        <v>5</v>
      </c>
      <c r="CO61" s="32">
        <f t="shared" si="53"/>
        <v>400000</v>
      </c>
      <c r="CP61" s="33">
        <f t="shared" si="54"/>
        <v>120000</v>
      </c>
      <c r="CQ61" s="31">
        <f t="shared" si="55"/>
        <v>15</v>
      </c>
      <c r="CR61" s="34">
        <f>CO61+CR60</f>
        <v>800000</v>
      </c>
      <c r="CS61" s="41"/>
      <c r="CT61" s="33"/>
      <c r="CU61" s="41">
        <f>VLOOKUP(CQ61,REF!$M$16:$N$18,2,1)</f>
        <v>0.15</v>
      </c>
      <c r="CV61" s="43"/>
      <c r="CW61" s="41">
        <f>VLOOKUP(SUM($CP$45:$CP$56),REF!$O$2:$P$5,2,1)*IF(AND(SUM('Advisor-Leader'!$CN$45:$CN$56)&gt;=24,'Advisor-Leader'!$E$9&gt;=7),1,0)</f>
        <v>1.2</v>
      </c>
      <c r="CX61" s="43"/>
      <c r="CY61" s="45">
        <f t="shared" si="39"/>
        <v>100000</v>
      </c>
      <c r="CZ61" s="43"/>
      <c r="DB61" s="32">
        <f>DB60</f>
        <v>35</v>
      </c>
      <c r="DC61" s="5">
        <f>IF($G$23&gt;=10,1,0)</f>
        <v>0</v>
      </c>
      <c r="DD61" s="32">
        <f t="shared" si="59"/>
        <v>0</v>
      </c>
      <c r="DE61" s="32">
        <f t="shared" si="17"/>
        <v>0</v>
      </c>
      <c r="DF61" s="32">
        <f t="shared" si="60"/>
        <v>0</v>
      </c>
      <c r="DG61" s="40">
        <f t="shared" si="12"/>
        <v>0.15</v>
      </c>
      <c r="DH61" s="34">
        <f t="shared" si="61"/>
        <v>0</v>
      </c>
      <c r="DI61" s="34">
        <f t="shared" si="32"/>
        <v>0</v>
      </c>
      <c r="DJ61" t="str">
        <f t="shared" si="40"/>
        <v>U1</v>
      </c>
    </row>
    <row r="62" spans="15:114" x14ac:dyDescent="0.3">
      <c r="O62" s="66" t="s">
        <v>170</v>
      </c>
      <c r="P62" s="50">
        <f t="shared" si="45"/>
        <v>5</v>
      </c>
      <c r="Q62" s="51">
        <f t="shared" si="46"/>
        <v>400000</v>
      </c>
      <c r="R62" s="52">
        <f t="shared" si="47"/>
        <v>120000</v>
      </c>
      <c r="S62" s="52">
        <f t="shared" si="48"/>
        <v>54000</v>
      </c>
      <c r="T62" s="52">
        <f t="shared" si="49"/>
        <v>0</v>
      </c>
      <c r="U62" s="52">
        <f t="shared" si="50"/>
        <v>0</v>
      </c>
      <c r="V62" s="51">
        <f t="shared" si="51"/>
        <v>100000</v>
      </c>
      <c r="W62" s="53">
        <f t="shared" si="52"/>
        <v>120000</v>
      </c>
      <c r="X62" s="53">
        <f t="shared" si="29"/>
        <v>0</v>
      </c>
      <c r="Y62" s="53">
        <f t="shared" si="30"/>
        <v>0</v>
      </c>
      <c r="Z62" s="53">
        <f t="shared" si="14"/>
        <v>38</v>
      </c>
      <c r="AA62" s="53">
        <f>K$14</f>
        <v>3</v>
      </c>
      <c r="AB62" s="53">
        <f t="shared" si="34"/>
        <v>19</v>
      </c>
      <c r="AC62" s="53">
        <f t="shared" si="35"/>
        <v>38</v>
      </c>
      <c r="AD62" s="53">
        <f t="shared" si="37"/>
        <v>2660000</v>
      </c>
      <c r="AE62" s="53">
        <f t="shared" si="36"/>
        <v>798000</v>
      </c>
      <c r="AF62" s="53">
        <f t="shared" si="41"/>
        <v>413000</v>
      </c>
      <c r="AG62" s="78">
        <f t="shared" si="43"/>
        <v>279300</v>
      </c>
      <c r="AH62" s="78">
        <f>IF(DJ62="U1",SUM(AE60:AE62)*0.32,0)</f>
        <v>739200</v>
      </c>
      <c r="AI62" s="53">
        <f>IF(AND((AVERAGE(AB60:AB62)+1)&gt;=5,SUM(AD60:AD62,SUM(Q60:Q62)*0.5)&gt;=1200000),VLOOKUP(SUM(AD60:AD62,SUM(Q60:Q62)*0.5),REF!$G$25:$H$30,2,1)*SUM('Advisor-Leader'!AE60:AE62,SUM('Advisor-Leader'!R60:R62)*0.5))*IF('Advisor-Leader'!DJ62="U1",1,0)</f>
        <v>124500</v>
      </c>
      <c r="AJ62" s="52">
        <f t="shared" si="44"/>
        <v>1537000</v>
      </c>
      <c r="CL62">
        <f t="shared" si="20"/>
        <v>54</v>
      </c>
      <c r="CM62" s="5">
        <v>1</v>
      </c>
      <c r="CN62" s="31">
        <f t="shared" si="22"/>
        <v>5</v>
      </c>
      <c r="CO62" s="32">
        <f t="shared" si="53"/>
        <v>400000</v>
      </c>
      <c r="CP62" s="33">
        <f t="shared" si="54"/>
        <v>120000</v>
      </c>
      <c r="CQ62" s="31">
        <f t="shared" si="55"/>
        <v>15</v>
      </c>
      <c r="CR62" s="34">
        <f>CO62+CR61</f>
        <v>1200000</v>
      </c>
      <c r="CS62" s="41">
        <f>VLOOKUP(CR62,REF!$G$4:$H$10,2,1)</f>
        <v>0.15</v>
      </c>
      <c r="CT62" s="33">
        <f>CS62*SUM(CP60:CP62)</f>
        <v>54000</v>
      </c>
      <c r="CU62" s="41">
        <f>VLOOKUP(CQ62,REF!$M$16:$N$18,2,1)</f>
        <v>0.15</v>
      </c>
      <c r="CV62" s="43"/>
      <c r="CW62" s="41">
        <f>VLOOKUP(SUM($CP$45:$CP$56),REF!$O$2:$P$5,2,1)*IF(AND(SUM('Advisor-Leader'!$CN$45:$CN$56)&gt;=24,'Advisor-Leader'!$E$9&gt;=7),1,0)</f>
        <v>1.2</v>
      </c>
      <c r="CX62" s="43"/>
      <c r="CY62" s="45">
        <f t="shared" si="39"/>
        <v>100000</v>
      </c>
      <c r="CZ62" s="43">
        <f t="shared" si="58"/>
        <v>120000</v>
      </c>
      <c r="DB62" s="32">
        <f>DB61+K14</f>
        <v>38</v>
      </c>
      <c r="DC62" s="5">
        <v>1</v>
      </c>
      <c r="DD62" s="32">
        <f t="shared" si="59"/>
        <v>76</v>
      </c>
      <c r="DE62" s="32">
        <f t="shared" si="17"/>
        <v>5320000</v>
      </c>
      <c r="DF62" s="32">
        <f t="shared" si="60"/>
        <v>1596000</v>
      </c>
      <c r="DG62" s="40">
        <f t="shared" si="12"/>
        <v>0.15</v>
      </c>
      <c r="DH62" s="34">
        <f t="shared" si="61"/>
        <v>239400</v>
      </c>
      <c r="DI62" s="34">
        <f t="shared" si="32"/>
        <v>239400</v>
      </c>
      <c r="DJ62" t="str">
        <f t="shared" si="40"/>
        <v>U1</v>
      </c>
    </row>
    <row r="63" spans="15:114" x14ac:dyDescent="0.3">
      <c r="O63" s="66" t="s">
        <v>171</v>
      </c>
      <c r="P63" s="50">
        <f t="shared" si="45"/>
        <v>5</v>
      </c>
      <c r="Q63" s="51">
        <f t="shared" si="46"/>
        <v>400000</v>
      </c>
      <c r="R63" s="52">
        <f t="shared" si="47"/>
        <v>120000</v>
      </c>
      <c r="S63" s="52">
        <f t="shared" si="48"/>
        <v>0</v>
      </c>
      <c r="T63" s="52">
        <f t="shared" si="49"/>
        <v>0</v>
      </c>
      <c r="U63" s="52">
        <f t="shared" si="50"/>
        <v>0</v>
      </c>
      <c r="V63" s="51">
        <f t="shared" si="51"/>
        <v>100000</v>
      </c>
      <c r="W63" s="53">
        <f t="shared" si="52"/>
        <v>0</v>
      </c>
      <c r="X63" s="53">
        <f t="shared" si="29"/>
        <v>0</v>
      </c>
      <c r="Y63" s="53">
        <f t="shared" si="30"/>
        <v>0</v>
      </c>
      <c r="Z63" s="53">
        <f t="shared" si="14"/>
        <v>38</v>
      </c>
      <c r="AA63" s="53">
        <v>0</v>
      </c>
      <c r="AB63" s="53">
        <f t="shared" si="34"/>
        <v>19</v>
      </c>
      <c r="AC63" s="53">
        <f t="shared" si="35"/>
        <v>38</v>
      </c>
      <c r="AD63" s="53">
        <f t="shared" si="37"/>
        <v>2660000</v>
      </c>
      <c r="AE63" s="53">
        <f t="shared" si="36"/>
        <v>798000</v>
      </c>
      <c r="AF63" s="53">
        <f t="shared" si="41"/>
        <v>413000</v>
      </c>
      <c r="AG63" s="78">
        <f t="shared" si="43"/>
        <v>279300</v>
      </c>
      <c r="AH63" s="78">
        <v>0</v>
      </c>
      <c r="AI63" s="53"/>
      <c r="AJ63" s="52">
        <f t="shared" si="44"/>
        <v>499300</v>
      </c>
      <c r="CL63">
        <f t="shared" si="20"/>
        <v>55</v>
      </c>
      <c r="CM63" s="5">
        <f>IF($E$9&gt;=11,1,0)</f>
        <v>1</v>
      </c>
      <c r="CN63" s="31">
        <f t="shared" si="22"/>
        <v>5</v>
      </c>
      <c r="CO63" s="32">
        <f t="shared" si="53"/>
        <v>400000</v>
      </c>
      <c r="CP63" s="33">
        <f t="shared" si="54"/>
        <v>120000</v>
      </c>
      <c r="CQ63" s="31">
        <f t="shared" si="55"/>
        <v>15</v>
      </c>
      <c r="CR63" s="34">
        <f>CO63</f>
        <v>400000</v>
      </c>
      <c r="CS63" s="41"/>
      <c r="CT63" s="33"/>
      <c r="CU63" s="41">
        <f>VLOOKUP(CQ63,REF!$M$16:$N$18,2,1)</f>
        <v>0.15</v>
      </c>
      <c r="CV63" s="43"/>
      <c r="CW63" s="41">
        <f>VLOOKUP(SUM($CP$45:$CP$56),REF!$O$2:$P$5,2,1)*IF(AND(SUM('Advisor-Leader'!$CN$45:$CN$56)&gt;=24,'Advisor-Leader'!$E$9&gt;=7),1,0)</f>
        <v>1.2</v>
      </c>
      <c r="CX63" s="43"/>
      <c r="CY63" s="45">
        <f t="shared" si="39"/>
        <v>100000</v>
      </c>
      <c r="CZ63" s="43"/>
      <c r="DB63" s="32">
        <f>DB62</f>
        <v>38</v>
      </c>
      <c r="DC63" s="5">
        <f>IF($G$23&gt;=11,1,0)</f>
        <v>0</v>
      </c>
      <c r="DD63" s="32">
        <f t="shared" si="59"/>
        <v>0</v>
      </c>
      <c r="DE63" s="32">
        <f t="shared" si="17"/>
        <v>0</v>
      </c>
      <c r="DF63" s="32">
        <f t="shared" si="60"/>
        <v>0</v>
      </c>
      <c r="DG63" s="40">
        <f t="shared" si="12"/>
        <v>0.15</v>
      </c>
      <c r="DH63" s="34">
        <f t="shared" si="61"/>
        <v>0</v>
      </c>
      <c r="DI63" s="34">
        <f t="shared" si="32"/>
        <v>0</v>
      </c>
      <c r="DJ63" t="str">
        <f t="shared" si="40"/>
        <v>U1</v>
      </c>
    </row>
    <row r="64" spans="15:114" x14ac:dyDescent="0.3">
      <c r="O64" s="66" t="s">
        <v>172</v>
      </c>
      <c r="P64" s="50">
        <f t="shared" si="45"/>
        <v>5</v>
      </c>
      <c r="Q64" s="51">
        <f t="shared" si="46"/>
        <v>400000</v>
      </c>
      <c r="R64" s="52">
        <f t="shared" si="47"/>
        <v>120000</v>
      </c>
      <c r="S64" s="52">
        <f t="shared" si="48"/>
        <v>0</v>
      </c>
      <c r="T64" s="52">
        <f t="shared" si="49"/>
        <v>0</v>
      </c>
      <c r="U64" s="52">
        <f t="shared" si="50"/>
        <v>0</v>
      </c>
      <c r="V64" s="51">
        <f t="shared" si="51"/>
        <v>100000</v>
      </c>
      <c r="W64" s="53">
        <f t="shared" si="52"/>
        <v>0</v>
      </c>
      <c r="X64" s="53">
        <f t="shared" si="29"/>
        <v>0</v>
      </c>
      <c r="Y64" s="53">
        <f t="shared" si="30"/>
        <v>0</v>
      </c>
      <c r="Z64" s="53">
        <f t="shared" si="14"/>
        <v>38</v>
      </c>
      <c r="AA64" s="53">
        <v>0</v>
      </c>
      <c r="AB64" s="53">
        <f t="shared" si="34"/>
        <v>19</v>
      </c>
      <c r="AC64" s="53">
        <f t="shared" si="35"/>
        <v>38</v>
      </c>
      <c r="AD64" s="53">
        <f t="shared" si="37"/>
        <v>2660000</v>
      </c>
      <c r="AE64" s="53">
        <f t="shared" si="36"/>
        <v>798000</v>
      </c>
      <c r="AF64" s="53">
        <f t="shared" si="41"/>
        <v>413000</v>
      </c>
      <c r="AG64" s="78">
        <f t="shared" si="43"/>
        <v>279300</v>
      </c>
      <c r="AH64" s="78">
        <v>0</v>
      </c>
      <c r="AI64" s="53"/>
      <c r="AJ64" s="52">
        <f t="shared" si="44"/>
        <v>499300</v>
      </c>
      <c r="CL64">
        <f t="shared" si="20"/>
        <v>56</v>
      </c>
      <c r="CM64" s="5">
        <f>IF($E$9&gt;=9,1,0)</f>
        <v>1</v>
      </c>
      <c r="CN64" s="31">
        <f t="shared" si="22"/>
        <v>5</v>
      </c>
      <c r="CO64" s="32">
        <f t="shared" si="53"/>
        <v>400000</v>
      </c>
      <c r="CP64" s="33">
        <f t="shared" si="54"/>
        <v>120000</v>
      </c>
      <c r="CQ64" s="31">
        <f t="shared" si="55"/>
        <v>15</v>
      </c>
      <c r="CR64" s="34">
        <f>CO64+CR63</f>
        <v>800000</v>
      </c>
      <c r="CS64" s="41"/>
      <c r="CT64" s="33"/>
      <c r="CU64" s="41">
        <f>VLOOKUP(CQ64,REF!$M$16:$N$18,2,1)</f>
        <v>0.15</v>
      </c>
      <c r="CV64" s="43"/>
      <c r="CW64" s="41">
        <f>VLOOKUP(SUM($CP$45:$CP$56),REF!$O$2:$P$5,2,1)*IF(AND(SUM('Advisor-Leader'!$CN$45:$CN$56)&gt;=24,'Advisor-Leader'!$E$9&gt;=7),1,0)</f>
        <v>1.2</v>
      </c>
      <c r="CX64" s="43"/>
      <c r="CY64" s="45">
        <f t="shared" si="39"/>
        <v>100000</v>
      </c>
      <c r="CZ64" s="43"/>
      <c r="DB64" s="32">
        <f>DB63</f>
        <v>38</v>
      </c>
      <c r="DC64" s="5">
        <f>IF($G$23&gt;=9,1,0)</f>
        <v>0</v>
      </c>
      <c r="DD64" s="32">
        <f t="shared" si="59"/>
        <v>0</v>
      </c>
      <c r="DE64" s="32">
        <f t="shared" si="17"/>
        <v>0</v>
      </c>
      <c r="DF64" s="32">
        <f t="shared" si="60"/>
        <v>0</v>
      </c>
      <c r="DG64" s="40">
        <f t="shared" si="12"/>
        <v>0.15</v>
      </c>
      <c r="DH64" s="34">
        <f t="shared" si="61"/>
        <v>0</v>
      </c>
      <c r="DI64" s="34">
        <f t="shared" si="32"/>
        <v>0</v>
      </c>
      <c r="DJ64" t="str">
        <f t="shared" si="40"/>
        <v>U1</v>
      </c>
    </row>
    <row r="65" spans="15:114" x14ac:dyDescent="0.3">
      <c r="O65" s="66" t="s">
        <v>173</v>
      </c>
      <c r="P65" s="50">
        <f t="shared" si="45"/>
        <v>5</v>
      </c>
      <c r="Q65" s="51">
        <f t="shared" si="46"/>
        <v>400000</v>
      </c>
      <c r="R65" s="52">
        <f t="shared" si="47"/>
        <v>120000</v>
      </c>
      <c r="S65" s="52">
        <f t="shared" si="48"/>
        <v>54000</v>
      </c>
      <c r="T65" s="52">
        <f t="shared" si="49"/>
        <v>0</v>
      </c>
      <c r="U65" s="52">
        <f t="shared" si="50"/>
        <v>0</v>
      </c>
      <c r="V65" s="51">
        <f t="shared" si="51"/>
        <v>100000</v>
      </c>
      <c r="W65" s="53">
        <f t="shared" si="52"/>
        <v>120000</v>
      </c>
      <c r="X65" s="53">
        <f t="shared" si="29"/>
        <v>0</v>
      </c>
      <c r="Y65" s="53">
        <f t="shared" si="30"/>
        <v>0</v>
      </c>
      <c r="Z65" s="53">
        <f t="shared" si="14"/>
        <v>41</v>
      </c>
      <c r="AA65" s="53">
        <f>K$15</f>
        <v>3</v>
      </c>
      <c r="AB65" s="53">
        <f t="shared" si="34"/>
        <v>21</v>
      </c>
      <c r="AC65" s="53">
        <f t="shared" si="35"/>
        <v>42</v>
      </c>
      <c r="AD65" s="53">
        <f t="shared" si="37"/>
        <v>2940000</v>
      </c>
      <c r="AE65" s="53">
        <f t="shared" si="36"/>
        <v>882000</v>
      </c>
      <c r="AF65" s="53">
        <f t="shared" si="41"/>
        <v>483000</v>
      </c>
      <c r="AG65" s="78">
        <f t="shared" si="43"/>
        <v>308700</v>
      </c>
      <c r="AH65" s="78">
        <f>IF(DJ65="U1",SUM(AE63:AE65)*0.32,0)</f>
        <v>792960</v>
      </c>
      <c r="AI65" s="53">
        <f>IF(AND((AVERAGE(AB63:AB65)+1)&gt;=5,SUM(AD63:AD65,SUM(Q63:Q65)*0.5)&gt;=1200000),VLOOKUP(SUM(AD63:AD65,SUM(Q63:Q65)*0.5),REF!$G$25:$H$30,2,1)*SUM('Advisor-Leader'!AE63:AE65,SUM('Advisor-Leader'!R63:R65)*0.5))*IF('Advisor-Leader'!DJ65="U1",1,0)</f>
        <v>132900</v>
      </c>
      <c r="AJ65" s="52">
        <f t="shared" si="44"/>
        <v>1628560</v>
      </c>
      <c r="CL65">
        <f t="shared" si="20"/>
        <v>57</v>
      </c>
      <c r="CM65" s="5">
        <v>1</v>
      </c>
      <c r="CN65" s="31">
        <f t="shared" si="22"/>
        <v>5</v>
      </c>
      <c r="CO65" s="32">
        <f t="shared" si="53"/>
        <v>400000</v>
      </c>
      <c r="CP65" s="33">
        <f t="shared" si="54"/>
        <v>120000</v>
      </c>
      <c r="CQ65" s="31">
        <f t="shared" si="55"/>
        <v>15</v>
      </c>
      <c r="CR65" s="34">
        <f>CO65+CR64</f>
        <v>1200000</v>
      </c>
      <c r="CS65" s="41">
        <f>VLOOKUP(CR65,REF!$G$4:$H$10,2,1)</f>
        <v>0.15</v>
      </c>
      <c r="CT65" s="33">
        <f>CS65*SUM(CP63:CP65)</f>
        <v>54000</v>
      </c>
      <c r="CU65" s="41">
        <f>VLOOKUP(CQ65,REF!$M$16:$N$18,2,1)</f>
        <v>0.15</v>
      </c>
      <c r="CV65" s="43"/>
      <c r="CW65" s="41">
        <f>VLOOKUP(SUM($CP$45:$CP$56),REF!$O$2:$P$5,2,1)*IF(AND(SUM('Advisor-Leader'!$CN$45:$CN$56)&gt;=24,'Advisor-Leader'!$E$9&gt;=7),1,0)</f>
        <v>1.2</v>
      </c>
      <c r="CX65" s="43"/>
      <c r="CY65" s="45">
        <f t="shared" si="39"/>
        <v>100000</v>
      </c>
      <c r="CZ65" s="43">
        <f t="shared" si="58"/>
        <v>120000</v>
      </c>
      <c r="DB65" s="32">
        <f>DB64+K15</f>
        <v>41</v>
      </c>
      <c r="DC65" s="5">
        <v>1</v>
      </c>
      <c r="DD65" s="32">
        <f t="shared" si="59"/>
        <v>82</v>
      </c>
      <c r="DE65" s="32">
        <f t="shared" si="17"/>
        <v>5740000</v>
      </c>
      <c r="DF65" s="32">
        <f t="shared" si="60"/>
        <v>1722000</v>
      </c>
      <c r="DG65" s="40">
        <f t="shared" si="12"/>
        <v>0.15</v>
      </c>
      <c r="DH65" s="34">
        <f t="shared" si="61"/>
        <v>258300</v>
      </c>
      <c r="DI65" s="34">
        <f t="shared" si="32"/>
        <v>258300</v>
      </c>
      <c r="DJ65" t="str">
        <f t="shared" si="40"/>
        <v>U1</v>
      </c>
    </row>
    <row r="66" spans="15:114" x14ac:dyDescent="0.3">
      <c r="O66" s="66" t="s">
        <v>174</v>
      </c>
      <c r="P66" s="50">
        <f t="shared" si="45"/>
        <v>5</v>
      </c>
      <c r="Q66" s="51">
        <f t="shared" si="46"/>
        <v>400000</v>
      </c>
      <c r="R66" s="52">
        <f t="shared" si="47"/>
        <v>120000</v>
      </c>
      <c r="S66" s="52">
        <f t="shared" si="48"/>
        <v>0</v>
      </c>
      <c r="T66" s="52">
        <f t="shared" si="49"/>
        <v>0</v>
      </c>
      <c r="U66" s="52">
        <f t="shared" si="50"/>
        <v>0</v>
      </c>
      <c r="V66" s="51">
        <f t="shared" si="51"/>
        <v>100000</v>
      </c>
      <c r="W66" s="53">
        <f t="shared" si="52"/>
        <v>0</v>
      </c>
      <c r="X66" s="53">
        <f t="shared" si="29"/>
        <v>0</v>
      </c>
      <c r="Y66" s="53">
        <f t="shared" si="30"/>
        <v>0</v>
      </c>
      <c r="Z66" s="53">
        <f t="shared" si="14"/>
        <v>41</v>
      </c>
      <c r="AA66" s="53">
        <v>0</v>
      </c>
      <c r="AB66" s="53">
        <f t="shared" si="34"/>
        <v>21</v>
      </c>
      <c r="AC66" s="53">
        <f t="shared" si="35"/>
        <v>42</v>
      </c>
      <c r="AD66" s="53">
        <f t="shared" si="37"/>
        <v>2940000</v>
      </c>
      <c r="AE66" s="53">
        <f t="shared" si="36"/>
        <v>882000</v>
      </c>
      <c r="AF66" s="53">
        <f t="shared" si="41"/>
        <v>483000</v>
      </c>
      <c r="AG66" s="78">
        <f t="shared" si="43"/>
        <v>308700</v>
      </c>
      <c r="AH66" s="78">
        <v>0</v>
      </c>
      <c r="AI66" s="53"/>
      <c r="AJ66" s="52">
        <f t="shared" si="44"/>
        <v>528700</v>
      </c>
      <c r="CL66">
        <f t="shared" si="20"/>
        <v>58</v>
      </c>
      <c r="CM66" s="5">
        <f>IF($E$9&gt;=8,1,0)</f>
        <v>1</v>
      </c>
      <c r="CN66" s="31">
        <f t="shared" si="22"/>
        <v>5</v>
      </c>
      <c r="CO66" s="32">
        <f t="shared" si="53"/>
        <v>400000</v>
      </c>
      <c r="CP66" s="33">
        <f t="shared" si="54"/>
        <v>120000</v>
      </c>
      <c r="CQ66" s="31">
        <f t="shared" si="55"/>
        <v>15</v>
      </c>
      <c r="CR66" s="34">
        <f>CO66</f>
        <v>400000</v>
      </c>
      <c r="CS66" s="41"/>
      <c r="CT66" s="33"/>
      <c r="CU66" s="41">
        <f>VLOOKUP(CQ66,REF!$M$16:$N$18,2,1)</f>
        <v>0.15</v>
      </c>
      <c r="CV66" s="43"/>
      <c r="CW66" s="41">
        <f>VLOOKUP(SUM($CP$45:$CP$56),REF!$O$2:$P$5,2,1)*IF(AND(SUM('Advisor-Leader'!$CN$45:$CN$56)&gt;=24,'Advisor-Leader'!$E$9&gt;=7),1,0)</f>
        <v>1.2</v>
      </c>
      <c r="CX66" s="43"/>
      <c r="CY66" s="45">
        <f t="shared" si="39"/>
        <v>100000</v>
      </c>
      <c r="CZ66" s="43"/>
      <c r="DB66" s="32">
        <f>DB65</f>
        <v>41</v>
      </c>
      <c r="DC66" s="5">
        <f>IF($G$23&gt;=8,1,0)</f>
        <v>1</v>
      </c>
      <c r="DD66" s="32">
        <f t="shared" si="59"/>
        <v>82</v>
      </c>
      <c r="DE66" s="32">
        <f t="shared" si="17"/>
        <v>5740000</v>
      </c>
      <c r="DF66" s="32">
        <f t="shared" si="60"/>
        <v>1722000</v>
      </c>
      <c r="DG66" s="40">
        <f t="shared" si="12"/>
        <v>0.15</v>
      </c>
      <c r="DH66" s="34">
        <f t="shared" si="61"/>
        <v>258300</v>
      </c>
      <c r="DI66" s="34">
        <f t="shared" si="32"/>
        <v>258300</v>
      </c>
      <c r="DJ66" t="str">
        <f t="shared" si="40"/>
        <v>U1</v>
      </c>
    </row>
    <row r="67" spans="15:114" x14ac:dyDescent="0.3">
      <c r="O67" s="66" t="s">
        <v>175</v>
      </c>
      <c r="P67" s="50">
        <f t="shared" si="45"/>
        <v>5</v>
      </c>
      <c r="Q67" s="51">
        <f t="shared" si="46"/>
        <v>400000</v>
      </c>
      <c r="R67" s="52">
        <f t="shared" si="47"/>
        <v>120000</v>
      </c>
      <c r="S67" s="52">
        <f t="shared" si="48"/>
        <v>0</v>
      </c>
      <c r="T67" s="52">
        <f t="shared" si="49"/>
        <v>0</v>
      </c>
      <c r="U67" s="52">
        <f t="shared" si="50"/>
        <v>0</v>
      </c>
      <c r="V67" s="51">
        <f t="shared" si="51"/>
        <v>100000</v>
      </c>
      <c r="W67" s="53">
        <f t="shared" si="52"/>
        <v>0</v>
      </c>
      <c r="X67" s="53">
        <f t="shared" si="29"/>
        <v>0</v>
      </c>
      <c r="Y67" s="53">
        <f t="shared" si="30"/>
        <v>0</v>
      </c>
      <c r="Z67" s="53">
        <f t="shared" si="14"/>
        <v>41</v>
      </c>
      <c r="AA67" s="53">
        <v>0</v>
      </c>
      <c r="AB67" s="53">
        <f t="shared" si="34"/>
        <v>21</v>
      </c>
      <c r="AC67" s="53">
        <f t="shared" si="35"/>
        <v>42</v>
      </c>
      <c r="AD67" s="53">
        <f t="shared" si="37"/>
        <v>2940000</v>
      </c>
      <c r="AE67" s="53">
        <f t="shared" si="36"/>
        <v>882000</v>
      </c>
      <c r="AF67" s="53">
        <f t="shared" si="41"/>
        <v>483000</v>
      </c>
      <c r="AG67" s="78">
        <f t="shared" si="43"/>
        <v>308700</v>
      </c>
      <c r="AH67" s="78">
        <v>0</v>
      </c>
      <c r="AI67" s="53"/>
      <c r="AJ67" s="52">
        <f t="shared" si="44"/>
        <v>528700</v>
      </c>
      <c r="CL67">
        <f t="shared" si="20"/>
        <v>59</v>
      </c>
      <c r="CM67" s="5">
        <f>IF($E$9&gt;=7,1,0)</f>
        <v>1</v>
      </c>
      <c r="CN67" s="31">
        <f t="shared" si="22"/>
        <v>5</v>
      </c>
      <c r="CO67" s="32">
        <f t="shared" si="53"/>
        <v>400000</v>
      </c>
      <c r="CP67" s="33">
        <f t="shared" si="54"/>
        <v>120000</v>
      </c>
      <c r="CQ67" s="31">
        <f t="shared" si="55"/>
        <v>15</v>
      </c>
      <c r="CR67" s="34">
        <f>CO67+CR66</f>
        <v>800000</v>
      </c>
      <c r="CS67" s="41"/>
      <c r="CT67" s="33"/>
      <c r="CU67" s="41">
        <f>VLOOKUP(CQ67,REF!$M$16:$N$18,2,1)</f>
        <v>0.15</v>
      </c>
      <c r="CV67" s="43"/>
      <c r="CW67" s="41">
        <f>VLOOKUP(SUM($CP$45:$CP$56),REF!$O$2:$P$5,2,1)*IF(AND(SUM('Advisor-Leader'!$CN$45:$CN$56)&gt;=24,'Advisor-Leader'!$E$9&gt;=7),1,0)</f>
        <v>1.2</v>
      </c>
      <c r="CX67" s="43"/>
      <c r="CY67" s="45">
        <f t="shared" si="39"/>
        <v>100000</v>
      </c>
      <c r="CZ67" s="43"/>
      <c r="DB67" s="32">
        <f>DB66</f>
        <v>41</v>
      </c>
      <c r="DC67" s="5">
        <f>IF($G$23&gt;=7,1,0)</f>
        <v>1</v>
      </c>
      <c r="DD67" s="32">
        <f t="shared" si="59"/>
        <v>82</v>
      </c>
      <c r="DE67" s="32">
        <f t="shared" si="17"/>
        <v>5740000</v>
      </c>
      <c r="DF67" s="32">
        <f t="shared" si="60"/>
        <v>1722000</v>
      </c>
      <c r="DG67" s="40">
        <f t="shared" si="12"/>
        <v>0.15</v>
      </c>
      <c r="DH67" s="34">
        <f t="shared" si="61"/>
        <v>258300</v>
      </c>
      <c r="DI67" s="34">
        <f t="shared" si="32"/>
        <v>258300</v>
      </c>
      <c r="DJ67" t="str">
        <f t="shared" si="40"/>
        <v>U1</v>
      </c>
    </row>
    <row r="68" spans="15:114" x14ac:dyDescent="0.3">
      <c r="O68" s="66" t="s">
        <v>176</v>
      </c>
      <c r="P68" s="50">
        <f t="shared" si="45"/>
        <v>5</v>
      </c>
      <c r="Q68" s="51">
        <f t="shared" si="46"/>
        <v>400000</v>
      </c>
      <c r="R68" s="52">
        <f t="shared" si="47"/>
        <v>120000</v>
      </c>
      <c r="S68" s="52">
        <f t="shared" si="48"/>
        <v>54000</v>
      </c>
      <c r="T68" s="52">
        <f t="shared" si="49"/>
        <v>0</v>
      </c>
      <c r="U68" s="52">
        <f t="shared" si="50"/>
        <v>0</v>
      </c>
      <c r="V68" s="51">
        <f t="shared" si="51"/>
        <v>100000</v>
      </c>
      <c r="W68" s="53">
        <f t="shared" si="52"/>
        <v>120000</v>
      </c>
      <c r="X68" s="53">
        <f t="shared" si="29"/>
        <v>0</v>
      </c>
      <c r="Y68" s="53">
        <f t="shared" si="30"/>
        <v>0</v>
      </c>
      <c r="Z68" s="53">
        <f t="shared" si="14"/>
        <v>44</v>
      </c>
      <c r="AA68" s="53">
        <f>K$16</f>
        <v>3</v>
      </c>
      <c r="AB68" s="53">
        <f t="shared" si="34"/>
        <v>22</v>
      </c>
      <c r="AC68" s="53">
        <f t="shared" si="35"/>
        <v>44</v>
      </c>
      <c r="AD68" s="53">
        <f t="shared" si="37"/>
        <v>3080000</v>
      </c>
      <c r="AE68" s="53">
        <f t="shared" si="36"/>
        <v>924000</v>
      </c>
      <c r="AF68" s="53">
        <f t="shared" si="41"/>
        <v>518000</v>
      </c>
      <c r="AG68" s="78">
        <f t="shared" si="43"/>
        <v>323400</v>
      </c>
      <c r="AH68" s="78">
        <f>IF(DJ68="U1",SUM(AE66:AE68)*0.32,0)</f>
        <v>860160</v>
      </c>
      <c r="AI68" s="53">
        <f>IF(AND((AVERAGE(AB66:AB68)+1)&gt;=5,SUM(AD66:AD68,SUM(Q66:Q68)*0.5)&gt;=1200000),VLOOKUP(SUM(AD66:AD68,SUM(Q66:Q68)*0.5),REF!$G$25:$H$30,2,1)*SUM('Advisor-Leader'!AE66:AE68,SUM('Advisor-Leader'!R66:R68)*0.5))*IF('Advisor-Leader'!DJ68="U1",1,0)</f>
        <v>143400</v>
      </c>
      <c r="AJ68" s="52">
        <f t="shared" si="44"/>
        <v>1720960</v>
      </c>
      <c r="AL68" s="34">
        <f>SUM(AD57:AD68)</f>
        <v>31920000</v>
      </c>
      <c r="AM68" s="74">
        <f>VLOOKUP(AL68,REF!$U$10:$V$12,2,1)</f>
        <v>0.2</v>
      </c>
      <c r="CL68">
        <f t="shared" si="20"/>
        <v>60</v>
      </c>
      <c r="CM68" s="5">
        <v>1</v>
      </c>
      <c r="CN68" s="31">
        <f t="shared" si="22"/>
        <v>5</v>
      </c>
      <c r="CO68" s="32">
        <f t="shared" si="53"/>
        <v>400000</v>
      </c>
      <c r="CP68" s="33">
        <f t="shared" si="54"/>
        <v>120000</v>
      </c>
      <c r="CQ68" s="31">
        <f t="shared" si="55"/>
        <v>15</v>
      </c>
      <c r="CR68" s="34">
        <f>CO68+CR67</f>
        <v>1200000</v>
      </c>
      <c r="CS68" s="41">
        <f>VLOOKUP(CR68,REF!$G$4:$H$10,2,1)</f>
        <v>0.15</v>
      </c>
      <c r="CT68" s="33">
        <f>CS68*SUM(CP66:CP68)</f>
        <v>54000</v>
      </c>
      <c r="CU68" s="41">
        <f>VLOOKUP(CQ68,REF!$M$16:$N$18,2,1)</f>
        <v>0.15</v>
      </c>
      <c r="CV68" s="43"/>
      <c r="CW68" s="41">
        <f>VLOOKUP(SUM($CP$45:$CP$56),REF!$O$2:$P$5,2,1)*IF(AND(SUM('Advisor-Leader'!$CN$45:$CN$56)&gt;=24,'Advisor-Leader'!$E$9&gt;=7),1,0)</f>
        <v>1.2</v>
      </c>
      <c r="CX68" s="43"/>
      <c r="CY68" s="45">
        <f t="shared" si="39"/>
        <v>100000</v>
      </c>
      <c r="CZ68" s="43">
        <f t="shared" si="58"/>
        <v>120000</v>
      </c>
      <c r="DB68" s="32">
        <f>DB67+K16</f>
        <v>44</v>
      </c>
      <c r="DC68" s="5">
        <v>1</v>
      </c>
      <c r="DD68" s="32">
        <f t="shared" si="59"/>
        <v>88</v>
      </c>
      <c r="DE68" s="32">
        <f t="shared" si="17"/>
        <v>6160000</v>
      </c>
      <c r="DF68" s="32">
        <f t="shared" si="60"/>
        <v>1848000</v>
      </c>
      <c r="DG68" s="40">
        <f t="shared" si="12"/>
        <v>0.15</v>
      </c>
      <c r="DH68" s="34">
        <f t="shared" si="61"/>
        <v>277200</v>
      </c>
      <c r="DI68" s="34">
        <f t="shared" si="32"/>
        <v>277200</v>
      </c>
      <c r="DJ68" t="str">
        <f t="shared" si="40"/>
        <v>U1</v>
      </c>
    </row>
    <row r="69" spans="15:114" x14ac:dyDescent="0.3">
      <c r="O69" s="66" t="s">
        <v>73</v>
      </c>
      <c r="P69" s="51">
        <f t="shared" ref="P69:W69" si="62">SUM(P9:P68)</f>
        <v>300</v>
      </c>
      <c r="Q69" s="51">
        <f t="shared" si="62"/>
        <v>24000000</v>
      </c>
      <c r="R69" s="51">
        <f t="shared" si="62"/>
        <v>7200000</v>
      </c>
      <c r="S69" s="51">
        <f t="shared" si="62"/>
        <v>1170000</v>
      </c>
      <c r="T69" s="51">
        <f t="shared" si="62"/>
        <v>0</v>
      </c>
      <c r="U69" s="51">
        <f t="shared" si="62"/>
        <v>0</v>
      </c>
      <c r="V69" s="51">
        <f t="shared" si="62"/>
        <v>4560000</v>
      </c>
      <c r="W69" s="51">
        <f t="shared" si="62"/>
        <v>1824000</v>
      </c>
      <c r="X69" s="51">
        <f>SUM(X9:X68)</f>
        <v>63000</v>
      </c>
      <c r="Y69" s="51">
        <f>SUM(Y9:Y68)</f>
        <v>327600</v>
      </c>
      <c r="Z69" s="51">
        <f>Z68</f>
        <v>44</v>
      </c>
      <c r="AA69" s="51">
        <f t="shared" ref="AA69:AJ69" si="63">SUM(AA9:AA68)</f>
        <v>44</v>
      </c>
      <c r="AB69" s="51"/>
      <c r="AC69" s="51">
        <f>SUM(AC9:AC68)</f>
        <v>1022</v>
      </c>
      <c r="AD69" s="51">
        <f>SUM(AD9:AD68)</f>
        <v>71540000</v>
      </c>
      <c r="AE69" s="51">
        <f t="shared" si="63"/>
        <v>21462000</v>
      </c>
      <c r="AF69" s="53">
        <f>SUM(AF9:AF68)</f>
        <v>8813000</v>
      </c>
      <c r="AG69" s="51">
        <f t="shared" si="63"/>
        <v>6879600</v>
      </c>
      <c r="AH69" s="51">
        <f>SUM(AH9:AH68)</f>
        <v>6289920</v>
      </c>
      <c r="AI69" s="53">
        <f>SUM(AI9:AI68)</f>
        <v>1011720</v>
      </c>
      <c r="AJ69" s="52">
        <f t="shared" si="63"/>
        <v>29325840</v>
      </c>
    </row>
  </sheetData>
  <sheetProtection algorithmName="SHA-512" hashValue="ffAUcz620rczcBetQXcd/Eo04w2I0YrtfV4dy87pnRSprPrncXUk7R/TOBfRgBTrm4MJ9OkmZe1iBFrR7KcggA==" saltValue="bSH9YJ0BPjylrzVLaX5EWQ==" spinCount="100000" sheet="1" objects="1" scenarios="1"/>
  <mergeCells count="2">
    <mergeCell ref="P7:X7"/>
    <mergeCell ref="Y7:AI7"/>
  </mergeCells>
  <dataValidations count="1">
    <dataValidation type="whole" allowBlank="1" showInputMessage="1" showErrorMessage="1" errorTitle="Incorrect Input" error="Please re-enter values from 4 to 12." sqref="E9" xr:uid="{4818777B-B181-45FE-8C1F-C3EC29E1427A}">
      <formula1>4</formula1>
      <formula2>12</formula2>
    </dataValidation>
  </dataValidations>
  <pageMargins left="0.7" right="0.7" top="0.75" bottom="0.75" header="0.3" footer="0.3"/>
  <pageSetup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CU45"/>
  <sheetViews>
    <sheetView showGridLines="0" topLeftCell="H1" workbookViewId="0">
      <selection activeCell="P11" sqref="P11"/>
    </sheetView>
  </sheetViews>
  <sheetFormatPr defaultRowHeight="14.4" x14ac:dyDescent="0.3"/>
  <cols>
    <col min="1" max="1" width="2.33203125" customWidth="1"/>
    <col min="12" max="12" width="2.33203125" style="7" customWidth="1"/>
    <col min="13" max="13" width="2.5546875" customWidth="1"/>
    <col min="14" max="14" width="9.109375" customWidth="1"/>
    <col min="16" max="16" width="11" bestFit="1" customWidth="1"/>
    <col min="17" max="17" width="10" bestFit="1" customWidth="1"/>
    <col min="21" max="23" width="10" bestFit="1" customWidth="1"/>
    <col min="24" max="24" width="13.44140625" bestFit="1" customWidth="1"/>
    <col min="25" max="25" width="3.5546875" customWidth="1"/>
    <col min="27" max="27" width="18.33203125" bestFit="1" customWidth="1"/>
    <col min="28" max="28" width="2.88671875" customWidth="1"/>
    <col min="78" max="79" width="0" hidden="1" customWidth="1"/>
    <col min="80" max="80" width="11.5546875" hidden="1" customWidth="1"/>
    <col min="81" max="81" width="9.5546875" hidden="1" customWidth="1"/>
    <col min="82" max="82" width="0" hidden="1" customWidth="1"/>
    <col min="83" max="83" width="11.5546875" hidden="1" customWidth="1"/>
    <col min="84" max="89" width="0" hidden="1" customWidth="1"/>
    <col min="90" max="90" width="10.5546875" hidden="1" customWidth="1"/>
    <col min="91" max="91" width="9.5546875" hidden="1" customWidth="1"/>
    <col min="92" max="92" width="2.88671875" hidden="1" customWidth="1"/>
    <col min="93" max="95" width="0" hidden="1" customWidth="1"/>
    <col min="96" max="96" width="13.33203125" hidden="1" customWidth="1"/>
    <col min="97" max="97" width="11.5546875" hidden="1" customWidth="1"/>
    <col min="98" max="99" width="0" hidden="1" customWidth="1"/>
  </cols>
  <sheetData>
    <row r="2" spans="2:99" ht="33.6" x14ac:dyDescent="0.65">
      <c r="B2" s="4" t="s">
        <v>1</v>
      </c>
      <c r="N2" s="1"/>
    </row>
    <row r="3" spans="2:99" x14ac:dyDescent="0.3">
      <c r="B3" s="2" t="s">
        <v>0</v>
      </c>
    </row>
    <row r="4" spans="2:99" ht="8.25" customHeight="1" x14ac:dyDescent="0.3"/>
    <row r="5" spans="2:99" ht="18" x14ac:dyDescent="0.35">
      <c r="B5" s="3" t="s">
        <v>2</v>
      </c>
      <c r="N5" s="3" t="s">
        <v>27</v>
      </c>
      <c r="Z5" s="3" t="s">
        <v>104</v>
      </c>
    </row>
    <row r="6" spans="2:99" ht="5.25" customHeight="1" x14ac:dyDescent="0.3"/>
    <row r="7" spans="2:99" x14ac:dyDescent="0.3">
      <c r="B7" t="s">
        <v>3</v>
      </c>
      <c r="E7" s="47">
        <f>'Unit Manager'!G11</f>
        <v>2</v>
      </c>
      <c r="F7" t="s">
        <v>4</v>
      </c>
      <c r="N7" s="46" t="s">
        <v>102</v>
      </c>
      <c r="BZ7" s="1" t="s">
        <v>91</v>
      </c>
    </row>
    <row r="8" spans="2:99" x14ac:dyDescent="0.3">
      <c r="B8" t="s">
        <v>5</v>
      </c>
      <c r="G8" s="48">
        <f>'Unit Manager'!G12</f>
        <v>60000</v>
      </c>
      <c r="N8" s="9" t="s">
        <v>38</v>
      </c>
      <c r="O8" s="9" t="s">
        <v>66</v>
      </c>
      <c r="P8" s="9" t="s">
        <v>68</v>
      </c>
      <c r="Q8" s="9" t="s">
        <v>65</v>
      </c>
      <c r="R8" s="9" t="s">
        <v>67</v>
      </c>
      <c r="S8" s="9" t="s">
        <v>89</v>
      </c>
      <c r="T8" s="9" t="s">
        <v>90</v>
      </c>
      <c r="U8" s="9" t="s">
        <v>70</v>
      </c>
      <c r="V8" s="9" t="s">
        <v>69</v>
      </c>
      <c r="W8" s="9" t="s">
        <v>71</v>
      </c>
      <c r="X8" s="9" t="s">
        <v>72</v>
      </c>
      <c r="Z8" s="9" t="s">
        <v>38</v>
      </c>
      <c r="AA8" s="9" t="s">
        <v>105</v>
      </c>
      <c r="BZ8" s="9" t="s">
        <v>92</v>
      </c>
      <c r="CA8" s="9" t="s">
        <v>66</v>
      </c>
      <c r="CB8" s="9" t="s">
        <v>93</v>
      </c>
      <c r="CC8" s="9" t="s">
        <v>65</v>
      </c>
      <c r="CD8" s="9" t="s">
        <v>95</v>
      </c>
      <c r="CE8" s="9" t="s">
        <v>96</v>
      </c>
      <c r="CF8" s="9" t="s">
        <v>97</v>
      </c>
      <c r="CG8" s="9" t="s">
        <v>67</v>
      </c>
      <c r="CH8" s="9" t="s">
        <v>98</v>
      </c>
      <c r="CI8" s="9" t="s">
        <v>99</v>
      </c>
      <c r="CJ8" s="9" t="s">
        <v>100</v>
      </c>
      <c r="CK8" s="9" t="s">
        <v>101</v>
      </c>
      <c r="CL8" s="9" t="s">
        <v>70</v>
      </c>
      <c r="CM8" s="9" t="s">
        <v>69</v>
      </c>
      <c r="CO8" s="9" t="s">
        <v>86</v>
      </c>
      <c r="CP8" s="9" t="s">
        <v>92</v>
      </c>
      <c r="CQ8" s="9" t="s">
        <v>66</v>
      </c>
      <c r="CR8" s="9" t="s">
        <v>93</v>
      </c>
      <c r="CS8" s="9" t="s">
        <v>65</v>
      </c>
      <c r="CT8" s="9" t="s">
        <v>103</v>
      </c>
      <c r="CU8" s="9" t="s">
        <v>71</v>
      </c>
    </row>
    <row r="9" spans="2:99" x14ac:dyDescent="0.3">
      <c r="B9" t="s">
        <v>6</v>
      </c>
      <c r="E9" s="48">
        <f>'Unit Manager'!G10</f>
        <v>12</v>
      </c>
      <c r="F9" t="s">
        <v>63</v>
      </c>
      <c r="N9" s="10" t="s">
        <v>28</v>
      </c>
      <c r="O9" s="50">
        <f t="shared" ref="O9:Q44" si="0">CA9</f>
        <v>2</v>
      </c>
      <c r="P9" s="51">
        <f t="shared" si="0"/>
        <v>120000</v>
      </c>
      <c r="Q9" s="52">
        <f t="shared" si="0"/>
        <v>36000</v>
      </c>
      <c r="R9" s="52">
        <f t="shared" ref="R9:R44" si="1">CG9</f>
        <v>1800</v>
      </c>
      <c r="S9" s="52">
        <f t="shared" ref="S9:S44" si="2">CI9</f>
        <v>0</v>
      </c>
      <c r="T9" s="52">
        <f t="shared" ref="T9:V44" si="3">CK9</f>
        <v>0</v>
      </c>
      <c r="U9" s="51">
        <f t="shared" si="3"/>
        <v>0</v>
      </c>
      <c r="V9" s="53">
        <f t="shared" si="3"/>
        <v>0</v>
      </c>
      <c r="W9" s="53">
        <f t="shared" ref="W9:W44" si="4">IF($B$11="Y",CU9,0)</f>
        <v>0</v>
      </c>
      <c r="X9" s="52">
        <f>SUM(Q9:W9)</f>
        <v>37800</v>
      </c>
      <c r="Z9" s="54" t="s">
        <v>9</v>
      </c>
      <c r="AA9" s="55">
        <f>SUM(X9:X11)</f>
        <v>113400</v>
      </c>
      <c r="BZ9" s="5">
        <f>IF($E$9&gt;=6,1,0)</f>
        <v>1</v>
      </c>
      <c r="CA9" s="31">
        <f>BZ9*$E$7</f>
        <v>2</v>
      </c>
      <c r="CB9" s="32">
        <f>CA9*$G$8</f>
        <v>120000</v>
      </c>
      <c r="CC9" s="33">
        <f>CB9*0.3</f>
        <v>36000</v>
      </c>
      <c r="CD9" s="31">
        <f>CA9*3</f>
        <v>6</v>
      </c>
      <c r="CE9" s="34">
        <f>CC9*3</f>
        <v>108000</v>
      </c>
      <c r="CF9" s="40">
        <f>IFERROR(VLOOKUP(CE9,REF!$B$3:$E$10,MATCH(CD9,REF!$C$2:$E$2,1)+1,1),0)</f>
        <v>0.05</v>
      </c>
      <c r="CG9" s="33">
        <f>CF9*CC9</f>
        <v>1800</v>
      </c>
      <c r="CH9" s="40">
        <v>0</v>
      </c>
      <c r="CI9" s="33">
        <f>CH9*CG9</f>
        <v>0</v>
      </c>
      <c r="CJ9" s="40">
        <v>0</v>
      </c>
      <c r="CK9" s="33">
        <f>CJ9*SUM(CG9,CI9)</f>
        <v>0</v>
      </c>
      <c r="CL9" s="32">
        <v>0</v>
      </c>
      <c r="CO9" s="32">
        <v>0</v>
      </c>
      <c r="CP9" s="5">
        <f>IF($G$22&gt;=6,1,0)</f>
        <v>0</v>
      </c>
      <c r="CQ9" s="32">
        <f>CP9*$G$20*CO9</f>
        <v>0</v>
      </c>
      <c r="CR9" s="32">
        <f>CQ9*$H$21</f>
        <v>0</v>
      </c>
      <c r="CS9" s="32">
        <f>CR9*0.3</f>
        <v>0</v>
      </c>
      <c r="CT9" s="40">
        <f>IF($G$20&gt;=2,15%,7.5%)</f>
        <v>7.4999999999999997E-2</v>
      </c>
      <c r="CU9" s="34">
        <f>CT9*CS9</f>
        <v>0</v>
      </c>
    </row>
    <row r="10" spans="2:99" x14ac:dyDescent="0.3">
      <c r="N10" s="10" t="s">
        <v>29</v>
      </c>
      <c r="O10" s="50">
        <f t="shared" si="0"/>
        <v>2</v>
      </c>
      <c r="P10" s="51">
        <f t="shared" si="0"/>
        <v>120000</v>
      </c>
      <c r="Q10" s="52">
        <f t="shared" si="0"/>
        <v>36000</v>
      </c>
      <c r="R10" s="52">
        <f t="shared" si="1"/>
        <v>1800</v>
      </c>
      <c r="S10" s="52">
        <f t="shared" si="2"/>
        <v>0</v>
      </c>
      <c r="T10" s="52">
        <f t="shared" si="3"/>
        <v>0</v>
      </c>
      <c r="U10" s="51">
        <f t="shared" si="3"/>
        <v>0</v>
      </c>
      <c r="V10" s="53">
        <f t="shared" si="3"/>
        <v>0</v>
      </c>
      <c r="W10" s="53">
        <f t="shared" si="4"/>
        <v>0</v>
      </c>
      <c r="X10" s="52">
        <f t="shared" ref="X10:X44" si="5">SUM(Q10:W10)</f>
        <v>37800</v>
      </c>
      <c r="Z10" s="54" t="s">
        <v>10</v>
      </c>
      <c r="AA10" s="55">
        <f>SUM(X9:X14)</f>
        <v>226800</v>
      </c>
      <c r="BZ10" s="5">
        <f>IF($E$9&gt;=5,1,0)</f>
        <v>1</v>
      </c>
      <c r="CA10" s="31">
        <f>BZ10*$E$7</f>
        <v>2</v>
      </c>
      <c r="CB10" s="32">
        <f t="shared" ref="CB10:CB44" si="6">CA10*$G$8</f>
        <v>120000</v>
      </c>
      <c r="CC10" s="33">
        <f t="shared" ref="CC10:CC44" si="7">CB10*0.3</f>
        <v>36000</v>
      </c>
      <c r="CD10" s="31">
        <f>(CA10*2)+CA9</f>
        <v>6</v>
      </c>
      <c r="CE10" s="34">
        <f>(CC10*2)+CC9</f>
        <v>108000</v>
      </c>
      <c r="CF10" s="40">
        <f>IFERROR(VLOOKUP(CE10,REF!$B$3:$E$10,MATCH(CD10,REF!$C$2:$E$2,1)+1,1),0)</f>
        <v>0.05</v>
      </c>
      <c r="CG10" s="33">
        <f t="shared" ref="CG10:CG20" si="8">CF10*CC10</f>
        <v>1800</v>
      </c>
      <c r="CH10" s="40">
        <v>0</v>
      </c>
      <c r="CI10" s="33">
        <f t="shared" ref="CI10:CI44" si="9">CH10*CG10</f>
        <v>0</v>
      </c>
      <c r="CJ10" s="40">
        <v>0</v>
      </c>
      <c r="CK10" s="33">
        <f t="shared" ref="CK10:CK44" si="10">CJ10*SUM(CG10,CI10)</f>
        <v>0</v>
      </c>
      <c r="CL10" s="32">
        <v>0</v>
      </c>
      <c r="CO10" s="32">
        <v>0</v>
      </c>
      <c r="CP10" s="5">
        <f>IF($G$22&gt;=5,1,0)</f>
        <v>0</v>
      </c>
      <c r="CQ10" s="32">
        <f t="shared" ref="CQ10:CQ44" si="11">CP10*$G$20*CO10</f>
        <v>0</v>
      </c>
      <c r="CR10" s="32">
        <f t="shared" ref="CR10:CR44" si="12">CQ10*$H$21</f>
        <v>0</v>
      </c>
      <c r="CS10" s="32">
        <f t="shared" ref="CS10:CS44" si="13">CR10*0.3</f>
        <v>0</v>
      </c>
      <c r="CT10" s="40">
        <f t="shared" ref="CT10:CT44" si="14">IF($G$20&gt;=2,15%,7.5%)</f>
        <v>7.4999999999999997E-2</v>
      </c>
      <c r="CU10" s="34">
        <f t="shared" ref="CU10:CU44" si="15">CT10*CS10</f>
        <v>0</v>
      </c>
    </row>
    <row r="11" spans="2:99" x14ac:dyDescent="0.3">
      <c r="B11" s="48" t="s">
        <v>139</v>
      </c>
      <c r="C11" t="s">
        <v>7</v>
      </c>
      <c r="N11" s="10" t="s">
        <v>9</v>
      </c>
      <c r="O11" s="50">
        <f t="shared" si="0"/>
        <v>2</v>
      </c>
      <c r="P11" s="51">
        <f t="shared" si="0"/>
        <v>120000</v>
      </c>
      <c r="Q11" s="52">
        <f t="shared" si="0"/>
        <v>36000</v>
      </c>
      <c r="R11" s="52">
        <f t="shared" si="1"/>
        <v>1800</v>
      </c>
      <c r="S11" s="52">
        <f t="shared" si="2"/>
        <v>0</v>
      </c>
      <c r="T11" s="52">
        <f t="shared" si="3"/>
        <v>0</v>
      </c>
      <c r="U11" s="51">
        <f t="shared" si="3"/>
        <v>0</v>
      </c>
      <c r="V11" s="53">
        <f t="shared" si="3"/>
        <v>0</v>
      </c>
      <c r="W11" s="53">
        <f t="shared" si="4"/>
        <v>0</v>
      </c>
      <c r="X11" s="52">
        <f t="shared" si="5"/>
        <v>37800</v>
      </c>
      <c r="Z11" s="54" t="s">
        <v>37</v>
      </c>
      <c r="AA11" s="55">
        <f>SUM(X9:X20)</f>
        <v>453600</v>
      </c>
      <c r="BZ11" s="5">
        <v>1</v>
      </c>
      <c r="CA11" s="31">
        <f>BZ11*$E$7</f>
        <v>2</v>
      </c>
      <c r="CB11" s="32">
        <f t="shared" si="6"/>
        <v>120000</v>
      </c>
      <c r="CC11" s="33">
        <f t="shared" si="7"/>
        <v>36000</v>
      </c>
      <c r="CD11" s="31">
        <f>SUM(CA9:CA11)</f>
        <v>6</v>
      </c>
      <c r="CE11" s="34">
        <f>SUM(CC9:CC11)</f>
        <v>108000</v>
      </c>
      <c r="CF11" s="40">
        <f>IFERROR(VLOOKUP(CE11,REF!$B$3:$E$10,MATCH(CD11,REF!$C$2:$E$2,1)+1,1),0)</f>
        <v>0.05</v>
      </c>
      <c r="CG11" s="33">
        <f t="shared" si="8"/>
        <v>1800</v>
      </c>
      <c r="CH11" s="40">
        <v>0</v>
      </c>
      <c r="CI11" s="33">
        <f t="shared" si="9"/>
        <v>0</v>
      </c>
      <c r="CJ11" s="40">
        <v>0</v>
      </c>
      <c r="CK11" s="33">
        <f t="shared" si="10"/>
        <v>0</v>
      </c>
      <c r="CL11" s="32">
        <v>0</v>
      </c>
      <c r="CO11" s="32">
        <f>C15</f>
        <v>0</v>
      </c>
      <c r="CP11" s="5">
        <v>1</v>
      </c>
      <c r="CQ11" s="32">
        <f t="shared" si="11"/>
        <v>0</v>
      </c>
      <c r="CR11" s="32">
        <f t="shared" si="12"/>
        <v>0</v>
      </c>
      <c r="CS11" s="32">
        <f t="shared" si="13"/>
        <v>0</v>
      </c>
      <c r="CT11" s="40">
        <f t="shared" si="14"/>
        <v>7.4999999999999997E-2</v>
      </c>
      <c r="CU11" s="34">
        <f t="shared" si="15"/>
        <v>0</v>
      </c>
    </row>
    <row r="12" spans="2:99" x14ac:dyDescent="0.3">
      <c r="N12" s="10" t="s">
        <v>30</v>
      </c>
      <c r="O12" s="50">
        <f t="shared" si="0"/>
        <v>2</v>
      </c>
      <c r="P12" s="51">
        <f t="shared" si="0"/>
        <v>120000</v>
      </c>
      <c r="Q12" s="52">
        <f t="shared" si="0"/>
        <v>36000</v>
      </c>
      <c r="R12" s="52">
        <f t="shared" si="1"/>
        <v>1800</v>
      </c>
      <c r="S12" s="52">
        <f t="shared" si="2"/>
        <v>0</v>
      </c>
      <c r="T12" s="52">
        <f t="shared" si="3"/>
        <v>0</v>
      </c>
      <c r="U12" s="51">
        <f t="shared" si="3"/>
        <v>0</v>
      </c>
      <c r="V12" s="53">
        <f t="shared" si="3"/>
        <v>0</v>
      </c>
      <c r="W12" s="53">
        <f t="shared" si="4"/>
        <v>0</v>
      </c>
      <c r="X12" s="52">
        <f t="shared" si="5"/>
        <v>37800</v>
      </c>
      <c r="Z12" s="54" t="s">
        <v>44</v>
      </c>
      <c r="AA12" s="55">
        <f>SUM(X9:X26)</f>
        <v>916560</v>
      </c>
      <c r="BZ12" s="5">
        <f>IF($E$9=12,1,0)</f>
        <v>1</v>
      </c>
      <c r="CA12" s="31">
        <f>BZ12*$E$7</f>
        <v>2</v>
      </c>
      <c r="CB12" s="32">
        <f t="shared" si="6"/>
        <v>120000</v>
      </c>
      <c r="CC12" s="33">
        <f t="shared" si="7"/>
        <v>36000</v>
      </c>
      <c r="CD12" s="31">
        <f t="shared" ref="CD12:CD44" si="16">SUM(CA10:CA12)</f>
        <v>6</v>
      </c>
      <c r="CE12" s="34">
        <f t="shared" ref="CE12:CE44" si="17">SUM(CC10:CC12)</f>
        <v>108000</v>
      </c>
      <c r="CF12" s="40">
        <f>IFERROR(VLOOKUP(CE12,REF!$B$3:$E$10,MATCH(CD12,REF!$C$2:$E$2,1)+1,1),0)</f>
        <v>0.05</v>
      </c>
      <c r="CG12" s="33">
        <f t="shared" si="8"/>
        <v>1800</v>
      </c>
      <c r="CH12" s="40">
        <v>0</v>
      </c>
      <c r="CI12" s="33">
        <f t="shared" si="9"/>
        <v>0</v>
      </c>
      <c r="CJ12" s="40">
        <v>0</v>
      </c>
      <c r="CK12" s="33">
        <f t="shared" si="10"/>
        <v>0</v>
      </c>
      <c r="CL12" s="32">
        <v>0</v>
      </c>
      <c r="CO12" s="32">
        <f>CO11</f>
        <v>0</v>
      </c>
      <c r="CP12" s="5">
        <f>IF($G$22=12,1,0)</f>
        <v>0</v>
      </c>
      <c r="CQ12" s="32">
        <f t="shared" si="11"/>
        <v>0</v>
      </c>
      <c r="CR12" s="32">
        <f t="shared" si="12"/>
        <v>0</v>
      </c>
      <c r="CS12" s="32">
        <f t="shared" si="13"/>
        <v>0</v>
      </c>
      <c r="CT12" s="40">
        <f t="shared" si="14"/>
        <v>7.4999999999999997E-2</v>
      </c>
      <c r="CU12" s="34">
        <f t="shared" si="15"/>
        <v>0</v>
      </c>
    </row>
    <row r="13" spans="2:99" x14ac:dyDescent="0.3">
      <c r="B13" t="s">
        <v>8</v>
      </c>
      <c r="N13" s="10" t="s">
        <v>31</v>
      </c>
      <c r="O13" s="50">
        <f t="shared" si="0"/>
        <v>2</v>
      </c>
      <c r="P13" s="51">
        <f t="shared" si="0"/>
        <v>120000</v>
      </c>
      <c r="Q13" s="52">
        <f t="shared" si="0"/>
        <v>36000</v>
      </c>
      <c r="R13" s="52">
        <f t="shared" si="1"/>
        <v>1800</v>
      </c>
      <c r="S13" s="52">
        <f t="shared" si="2"/>
        <v>0</v>
      </c>
      <c r="T13" s="52">
        <f t="shared" si="3"/>
        <v>0</v>
      </c>
      <c r="U13" s="51">
        <f t="shared" si="3"/>
        <v>0</v>
      </c>
      <c r="V13" s="53">
        <f t="shared" si="3"/>
        <v>0</v>
      </c>
      <c r="W13" s="53">
        <f t="shared" si="4"/>
        <v>0</v>
      </c>
      <c r="X13" s="52">
        <f t="shared" si="5"/>
        <v>37800</v>
      </c>
      <c r="Z13" s="54" t="s">
        <v>50</v>
      </c>
      <c r="AA13" s="55">
        <f>SUM(X9:X32)</f>
        <v>1379520</v>
      </c>
      <c r="BZ13" s="5">
        <f>IF($E$9&gt;=10,1,0)</f>
        <v>1</v>
      </c>
      <c r="CA13" s="31">
        <f>BZ13*$E$7</f>
        <v>2</v>
      </c>
      <c r="CB13" s="32">
        <f t="shared" si="6"/>
        <v>120000</v>
      </c>
      <c r="CC13" s="33">
        <f t="shared" si="7"/>
        <v>36000</v>
      </c>
      <c r="CD13" s="31">
        <f t="shared" si="16"/>
        <v>6</v>
      </c>
      <c r="CE13" s="34">
        <f t="shared" si="17"/>
        <v>108000</v>
      </c>
      <c r="CF13" s="40">
        <f>IFERROR(VLOOKUP(CE13,REF!$B$3:$E$10,MATCH(CD13,REF!$C$2:$E$2,1)+1,1),0)</f>
        <v>0.05</v>
      </c>
      <c r="CG13" s="33">
        <f t="shared" si="8"/>
        <v>1800</v>
      </c>
      <c r="CH13" s="40">
        <v>0</v>
      </c>
      <c r="CI13" s="33">
        <f t="shared" si="9"/>
        <v>0</v>
      </c>
      <c r="CJ13" s="40">
        <v>0</v>
      </c>
      <c r="CK13" s="33">
        <f t="shared" si="10"/>
        <v>0</v>
      </c>
      <c r="CL13" s="32">
        <v>0</v>
      </c>
      <c r="CO13" s="32">
        <f>CO12</f>
        <v>0</v>
      </c>
      <c r="CP13" s="5">
        <f>IF($G$22&gt;=10,1,0)</f>
        <v>0</v>
      </c>
      <c r="CQ13" s="32">
        <f t="shared" si="11"/>
        <v>0</v>
      </c>
      <c r="CR13" s="32">
        <f t="shared" si="12"/>
        <v>0</v>
      </c>
      <c r="CS13" s="32">
        <f t="shared" si="13"/>
        <v>0</v>
      </c>
      <c r="CT13" s="40">
        <f t="shared" si="14"/>
        <v>7.4999999999999997E-2</v>
      </c>
      <c r="CU13" s="34">
        <f t="shared" si="15"/>
        <v>0</v>
      </c>
    </row>
    <row r="14" spans="2:99" x14ac:dyDescent="0.3">
      <c r="N14" s="10" t="s">
        <v>10</v>
      </c>
      <c r="O14" s="50">
        <f t="shared" si="0"/>
        <v>2</v>
      </c>
      <c r="P14" s="51">
        <f t="shared" si="0"/>
        <v>120000</v>
      </c>
      <c r="Q14" s="52">
        <f t="shared" si="0"/>
        <v>36000</v>
      </c>
      <c r="R14" s="52">
        <f t="shared" si="1"/>
        <v>1800</v>
      </c>
      <c r="S14" s="52">
        <f t="shared" si="2"/>
        <v>0</v>
      </c>
      <c r="T14" s="52">
        <f t="shared" si="3"/>
        <v>0</v>
      </c>
      <c r="U14" s="51">
        <f t="shared" si="3"/>
        <v>0</v>
      </c>
      <c r="V14" s="53">
        <f t="shared" si="3"/>
        <v>0</v>
      </c>
      <c r="W14" s="53">
        <f t="shared" si="4"/>
        <v>0</v>
      </c>
      <c r="X14" s="52">
        <f t="shared" si="5"/>
        <v>37800</v>
      </c>
      <c r="Z14" s="54" t="s">
        <v>62</v>
      </c>
      <c r="AA14" s="55">
        <f>X45</f>
        <v>2305440</v>
      </c>
      <c r="BZ14" s="5">
        <v>1</v>
      </c>
      <c r="CA14" s="31">
        <f t="shared" ref="CA14:CA44" si="18">BZ14*$E$7</f>
        <v>2</v>
      </c>
      <c r="CB14" s="32">
        <f t="shared" si="6"/>
        <v>120000</v>
      </c>
      <c r="CC14" s="33">
        <f t="shared" si="7"/>
        <v>36000</v>
      </c>
      <c r="CD14" s="31">
        <f t="shared" si="16"/>
        <v>6</v>
      </c>
      <c r="CE14" s="34">
        <f t="shared" si="17"/>
        <v>108000</v>
      </c>
      <c r="CF14" s="40">
        <f>IFERROR(VLOOKUP(CE14,REF!$B$3:$E$10,MATCH(CD14,REF!$C$2:$E$2,1)+1,1),0)</f>
        <v>0.05</v>
      </c>
      <c r="CG14" s="33">
        <f t="shared" si="8"/>
        <v>1800</v>
      </c>
      <c r="CH14" s="40">
        <v>0</v>
      </c>
      <c r="CI14" s="33">
        <f t="shared" si="9"/>
        <v>0</v>
      </c>
      <c r="CJ14" s="40">
        <v>0</v>
      </c>
      <c r="CK14" s="33">
        <f t="shared" si="10"/>
        <v>0</v>
      </c>
      <c r="CL14" s="32">
        <v>0</v>
      </c>
      <c r="CO14" s="32">
        <f>CO13+C16</f>
        <v>0</v>
      </c>
      <c r="CP14" s="5">
        <v>1</v>
      </c>
      <c r="CQ14" s="32">
        <f t="shared" si="11"/>
        <v>0</v>
      </c>
      <c r="CR14" s="32">
        <f t="shared" si="12"/>
        <v>0</v>
      </c>
      <c r="CS14" s="32">
        <f t="shared" si="13"/>
        <v>0</v>
      </c>
      <c r="CT14" s="40">
        <f t="shared" si="14"/>
        <v>7.4999999999999997E-2</v>
      </c>
      <c r="CU14" s="34">
        <f t="shared" si="15"/>
        <v>0</v>
      </c>
    </row>
    <row r="15" spans="2:99" x14ac:dyDescent="0.3">
      <c r="B15" t="s">
        <v>11</v>
      </c>
      <c r="C15" s="49"/>
      <c r="D15" t="s">
        <v>15</v>
      </c>
      <c r="E15" s="49"/>
      <c r="F15" t="s">
        <v>19</v>
      </c>
      <c r="G15" s="49"/>
      <c r="H15" s="6"/>
      <c r="N15" s="10" t="s">
        <v>32</v>
      </c>
      <c r="O15" s="50">
        <f t="shared" si="0"/>
        <v>2</v>
      </c>
      <c r="P15" s="51">
        <f t="shared" si="0"/>
        <v>120000</v>
      </c>
      <c r="Q15" s="52">
        <f t="shared" si="0"/>
        <v>36000</v>
      </c>
      <c r="R15" s="52">
        <f t="shared" si="1"/>
        <v>1800</v>
      </c>
      <c r="S15" s="52">
        <f t="shared" si="2"/>
        <v>0</v>
      </c>
      <c r="T15" s="52">
        <f t="shared" si="3"/>
        <v>0</v>
      </c>
      <c r="U15" s="51">
        <f t="shared" si="3"/>
        <v>0</v>
      </c>
      <c r="V15" s="53">
        <f t="shared" si="3"/>
        <v>0</v>
      </c>
      <c r="W15" s="53">
        <f t="shared" si="4"/>
        <v>0</v>
      </c>
      <c r="X15" s="52">
        <f t="shared" si="5"/>
        <v>37800</v>
      </c>
      <c r="BZ15" s="5">
        <f>IF($E$9&gt;=11,1,0)</f>
        <v>1</v>
      </c>
      <c r="CA15" s="31">
        <f t="shared" si="18"/>
        <v>2</v>
      </c>
      <c r="CB15" s="32">
        <f t="shared" si="6"/>
        <v>120000</v>
      </c>
      <c r="CC15" s="33">
        <f t="shared" si="7"/>
        <v>36000</v>
      </c>
      <c r="CD15" s="31">
        <f t="shared" si="16"/>
        <v>6</v>
      </c>
      <c r="CE15" s="34">
        <f t="shared" si="17"/>
        <v>108000</v>
      </c>
      <c r="CF15" s="40">
        <f>IFERROR(VLOOKUP(CE15,REF!$B$3:$E$10,MATCH(CD15,REF!$C$2:$E$2,1)+1,1),0)</f>
        <v>0.05</v>
      </c>
      <c r="CG15" s="33">
        <f t="shared" si="8"/>
        <v>1800</v>
      </c>
      <c r="CH15" s="40">
        <v>0</v>
      </c>
      <c r="CI15" s="33">
        <f t="shared" si="9"/>
        <v>0</v>
      </c>
      <c r="CJ15" s="40">
        <v>0</v>
      </c>
      <c r="CK15" s="33">
        <f t="shared" si="10"/>
        <v>0</v>
      </c>
      <c r="CL15" s="32">
        <v>0</v>
      </c>
      <c r="CO15" s="32">
        <f>CO14</f>
        <v>0</v>
      </c>
      <c r="CP15" s="5">
        <f>IF($G$22&gt;=11,1,0)</f>
        <v>0</v>
      </c>
      <c r="CQ15" s="32">
        <f t="shared" si="11"/>
        <v>0</v>
      </c>
      <c r="CR15" s="32">
        <f t="shared" si="12"/>
        <v>0</v>
      </c>
      <c r="CS15" s="32">
        <f t="shared" si="13"/>
        <v>0</v>
      </c>
      <c r="CT15" s="40">
        <f t="shared" si="14"/>
        <v>7.4999999999999997E-2</v>
      </c>
      <c r="CU15" s="34">
        <f t="shared" si="15"/>
        <v>0</v>
      </c>
    </row>
    <row r="16" spans="2:99" x14ac:dyDescent="0.3">
      <c r="B16" t="s">
        <v>12</v>
      </c>
      <c r="C16" s="49"/>
      <c r="D16" t="s">
        <v>16</v>
      </c>
      <c r="E16" s="49"/>
      <c r="F16" t="s">
        <v>20</v>
      </c>
      <c r="G16" s="49"/>
      <c r="H16" s="6"/>
      <c r="N16" s="10" t="s">
        <v>33</v>
      </c>
      <c r="O16" s="50">
        <f t="shared" si="0"/>
        <v>2</v>
      </c>
      <c r="P16" s="51">
        <f t="shared" si="0"/>
        <v>120000</v>
      </c>
      <c r="Q16" s="52">
        <f t="shared" si="0"/>
        <v>36000</v>
      </c>
      <c r="R16" s="52">
        <f t="shared" si="1"/>
        <v>1800</v>
      </c>
      <c r="S16" s="52">
        <f t="shared" si="2"/>
        <v>0</v>
      </c>
      <c r="T16" s="52">
        <f t="shared" si="3"/>
        <v>0</v>
      </c>
      <c r="U16" s="51">
        <f t="shared" si="3"/>
        <v>0</v>
      </c>
      <c r="V16" s="53">
        <f t="shared" si="3"/>
        <v>0</v>
      </c>
      <c r="W16" s="53">
        <f t="shared" si="4"/>
        <v>0</v>
      </c>
      <c r="X16" s="52">
        <f t="shared" si="5"/>
        <v>37800</v>
      </c>
      <c r="BZ16" s="5">
        <f>IF($E$9&gt;=9,1,0)</f>
        <v>1</v>
      </c>
      <c r="CA16" s="31">
        <f t="shared" si="18"/>
        <v>2</v>
      </c>
      <c r="CB16" s="32">
        <f t="shared" si="6"/>
        <v>120000</v>
      </c>
      <c r="CC16" s="33">
        <f t="shared" si="7"/>
        <v>36000</v>
      </c>
      <c r="CD16" s="31">
        <f t="shared" si="16"/>
        <v>6</v>
      </c>
      <c r="CE16" s="34">
        <f t="shared" si="17"/>
        <v>108000</v>
      </c>
      <c r="CF16" s="40">
        <f>IFERROR(VLOOKUP(CE16,REF!$B$3:$E$10,MATCH(CD16,REF!$C$2:$E$2,1)+1,1),0)</f>
        <v>0.05</v>
      </c>
      <c r="CG16" s="33">
        <f t="shared" si="8"/>
        <v>1800</v>
      </c>
      <c r="CH16" s="40">
        <v>0</v>
      </c>
      <c r="CI16" s="33">
        <f t="shared" si="9"/>
        <v>0</v>
      </c>
      <c r="CJ16" s="40">
        <v>0</v>
      </c>
      <c r="CK16" s="33">
        <f t="shared" si="10"/>
        <v>0</v>
      </c>
      <c r="CL16" s="32">
        <v>0</v>
      </c>
      <c r="CO16" s="32">
        <f>CO15</f>
        <v>0</v>
      </c>
      <c r="CP16" s="5">
        <f>IF($G$22&gt;=9,1,0)</f>
        <v>0</v>
      </c>
      <c r="CQ16" s="32">
        <f t="shared" si="11"/>
        <v>0</v>
      </c>
      <c r="CR16" s="32">
        <f t="shared" si="12"/>
        <v>0</v>
      </c>
      <c r="CS16" s="32">
        <f t="shared" si="13"/>
        <v>0</v>
      </c>
      <c r="CT16" s="40">
        <f t="shared" si="14"/>
        <v>7.4999999999999997E-2</v>
      </c>
      <c r="CU16" s="34">
        <f t="shared" si="15"/>
        <v>0</v>
      </c>
    </row>
    <row r="17" spans="2:99" x14ac:dyDescent="0.3">
      <c r="B17" t="s">
        <v>13</v>
      </c>
      <c r="C17" s="49"/>
      <c r="D17" t="s">
        <v>17</v>
      </c>
      <c r="E17" s="49"/>
      <c r="F17" t="s">
        <v>21</v>
      </c>
      <c r="G17" s="49"/>
      <c r="H17" s="6"/>
      <c r="N17" s="10" t="s">
        <v>34</v>
      </c>
      <c r="O17" s="50">
        <f t="shared" si="0"/>
        <v>2</v>
      </c>
      <c r="P17" s="51">
        <f t="shared" si="0"/>
        <v>120000</v>
      </c>
      <c r="Q17" s="52">
        <f t="shared" si="0"/>
        <v>36000</v>
      </c>
      <c r="R17" s="52">
        <f t="shared" si="1"/>
        <v>1800</v>
      </c>
      <c r="S17" s="52">
        <f t="shared" si="2"/>
        <v>0</v>
      </c>
      <c r="T17" s="52">
        <f t="shared" si="3"/>
        <v>0</v>
      </c>
      <c r="U17" s="51">
        <f t="shared" si="3"/>
        <v>0</v>
      </c>
      <c r="V17" s="53">
        <f t="shared" si="3"/>
        <v>0</v>
      </c>
      <c r="W17" s="53">
        <f t="shared" si="4"/>
        <v>0</v>
      </c>
      <c r="X17" s="52">
        <f t="shared" si="5"/>
        <v>37800</v>
      </c>
      <c r="BZ17" s="5">
        <v>1</v>
      </c>
      <c r="CA17" s="31">
        <f t="shared" si="18"/>
        <v>2</v>
      </c>
      <c r="CB17" s="32">
        <f t="shared" si="6"/>
        <v>120000</v>
      </c>
      <c r="CC17" s="33">
        <f t="shared" si="7"/>
        <v>36000</v>
      </c>
      <c r="CD17" s="31">
        <f t="shared" si="16"/>
        <v>6</v>
      </c>
      <c r="CE17" s="34">
        <f t="shared" si="17"/>
        <v>108000</v>
      </c>
      <c r="CF17" s="40">
        <f>IFERROR(VLOOKUP(CE17,REF!$B$3:$E$10,MATCH(CD17,REF!$C$2:$E$2,1)+1,1),0)</f>
        <v>0.05</v>
      </c>
      <c r="CG17" s="33">
        <f t="shared" si="8"/>
        <v>1800</v>
      </c>
      <c r="CH17" s="40">
        <v>0</v>
      </c>
      <c r="CI17" s="33">
        <f t="shared" si="9"/>
        <v>0</v>
      </c>
      <c r="CJ17" s="40">
        <v>0</v>
      </c>
      <c r="CK17" s="33">
        <f t="shared" si="10"/>
        <v>0</v>
      </c>
      <c r="CL17" s="32">
        <v>0</v>
      </c>
      <c r="CO17" s="32">
        <f>CO16+C17</f>
        <v>0</v>
      </c>
      <c r="CP17" s="5">
        <v>1</v>
      </c>
      <c r="CQ17" s="32">
        <f t="shared" si="11"/>
        <v>0</v>
      </c>
      <c r="CR17" s="32">
        <f t="shared" si="12"/>
        <v>0</v>
      </c>
      <c r="CS17" s="32">
        <f t="shared" si="13"/>
        <v>0</v>
      </c>
      <c r="CT17" s="40">
        <f t="shared" si="14"/>
        <v>7.4999999999999997E-2</v>
      </c>
      <c r="CU17" s="34">
        <f t="shared" si="15"/>
        <v>0</v>
      </c>
    </row>
    <row r="18" spans="2:99" x14ac:dyDescent="0.3">
      <c r="B18" t="s">
        <v>14</v>
      </c>
      <c r="C18" s="49"/>
      <c r="D18" t="s">
        <v>18</v>
      </c>
      <c r="E18" s="49"/>
      <c r="F18" t="s">
        <v>22</v>
      </c>
      <c r="G18" s="49"/>
      <c r="H18" s="6"/>
      <c r="N18" s="10" t="s">
        <v>35</v>
      </c>
      <c r="O18" s="50">
        <f t="shared" si="0"/>
        <v>2</v>
      </c>
      <c r="P18" s="51">
        <f t="shared" si="0"/>
        <v>120000</v>
      </c>
      <c r="Q18" s="52">
        <f t="shared" si="0"/>
        <v>36000</v>
      </c>
      <c r="R18" s="52">
        <f t="shared" si="1"/>
        <v>1800</v>
      </c>
      <c r="S18" s="52">
        <f t="shared" si="2"/>
        <v>0</v>
      </c>
      <c r="T18" s="52">
        <f t="shared" si="3"/>
        <v>0</v>
      </c>
      <c r="U18" s="51">
        <f t="shared" si="3"/>
        <v>0</v>
      </c>
      <c r="V18" s="53">
        <f t="shared" si="3"/>
        <v>0</v>
      </c>
      <c r="W18" s="53">
        <f t="shared" si="4"/>
        <v>0</v>
      </c>
      <c r="X18" s="52">
        <f t="shared" si="5"/>
        <v>37800</v>
      </c>
      <c r="BZ18" s="5">
        <f>IF($E$9&gt;=8,1,0)</f>
        <v>1</v>
      </c>
      <c r="CA18" s="31">
        <f t="shared" si="18"/>
        <v>2</v>
      </c>
      <c r="CB18" s="32">
        <f t="shared" si="6"/>
        <v>120000</v>
      </c>
      <c r="CC18" s="33">
        <f t="shared" si="7"/>
        <v>36000</v>
      </c>
      <c r="CD18" s="31">
        <f t="shared" si="16"/>
        <v>6</v>
      </c>
      <c r="CE18" s="34">
        <f t="shared" si="17"/>
        <v>108000</v>
      </c>
      <c r="CF18" s="40">
        <f>IFERROR(VLOOKUP(CE18,REF!$B$3:$E$10,MATCH(CD18,REF!$C$2:$E$2,1)+1,1),0)</f>
        <v>0.05</v>
      </c>
      <c r="CG18" s="33">
        <f t="shared" si="8"/>
        <v>1800</v>
      </c>
      <c r="CH18" s="40">
        <v>0</v>
      </c>
      <c r="CI18" s="33">
        <f t="shared" si="9"/>
        <v>0</v>
      </c>
      <c r="CJ18" s="40">
        <v>0</v>
      </c>
      <c r="CK18" s="33">
        <f t="shared" si="10"/>
        <v>0</v>
      </c>
      <c r="CL18" s="32">
        <v>0</v>
      </c>
      <c r="CO18" s="32">
        <f>CO17</f>
        <v>0</v>
      </c>
      <c r="CP18" s="5">
        <f>IF($G$22&gt;=8,1,0)</f>
        <v>0</v>
      </c>
      <c r="CQ18" s="32">
        <f t="shared" si="11"/>
        <v>0</v>
      </c>
      <c r="CR18" s="32">
        <f t="shared" si="12"/>
        <v>0</v>
      </c>
      <c r="CS18" s="32">
        <f t="shared" si="13"/>
        <v>0</v>
      </c>
      <c r="CT18" s="40">
        <f t="shared" si="14"/>
        <v>7.4999999999999997E-2</v>
      </c>
      <c r="CU18" s="34">
        <f t="shared" si="15"/>
        <v>0</v>
      </c>
    </row>
    <row r="19" spans="2:99" x14ac:dyDescent="0.3">
      <c r="N19" s="10" t="s">
        <v>36</v>
      </c>
      <c r="O19" s="50">
        <f t="shared" si="0"/>
        <v>2</v>
      </c>
      <c r="P19" s="51">
        <f t="shared" si="0"/>
        <v>120000</v>
      </c>
      <c r="Q19" s="52">
        <f t="shared" si="0"/>
        <v>36000</v>
      </c>
      <c r="R19" s="52">
        <f t="shared" si="1"/>
        <v>1800</v>
      </c>
      <c r="S19" s="52">
        <f t="shared" si="2"/>
        <v>0</v>
      </c>
      <c r="T19" s="52">
        <f t="shared" si="3"/>
        <v>0</v>
      </c>
      <c r="U19" s="51">
        <f t="shared" si="3"/>
        <v>0</v>
      </c>
      <c r="V19" s="53">
        <f t="shared" si="3"/>
        <v>0</v>
      </c>
      <c r="W19" s="53">
        <f t="shared" si="4"/>
        <v>0</v>
      </c>
      <c r="X19" s="52">
        <f t="shared" si="5"/>
        <v>37800</v>
      </c>
      <c r="BZ19" s="5">
        <f>IF($E$9&gt;=7,1,0)</f>
        <v>1</v>
      </c>
      <c r="CA19" s="31">
        <f t="shared" si="18"/>
        <v>2</v>
      </c>
      <c r="CB19" s="32">
        <f t="shared" si="6"/>
        <v>120000</v>
      </c>
      <c r="CC19" s="33">
        <f t="shared" si="7"/>
        <v>36000</v>
      </c>
      <c r="CD19" s="31">
        <f t="shared" si="16"/>
        <v>6</v>
      </c>
      <c r="CE19" s="34">
        <f t="shared" si="17"/>
        <v>108000</v>
      </c>
      <c r="CF19" s="40">
        <f>IFERROR(VLOOKUP(CE19,REF!$B$3:$E$10,MATCH(CD19,REF!$C$2:$E$2,1)+1,1),0)</f>
        <v>0.05</v>
      </c>
      <c r="CG19" s="33">
        <f t="shared" si="8"/>
        <v>1800</v>
      </c>
      <c r="CH19" s="40">
        <v>0</v>
      </c>
      <c r="CI19" s="33">
        <f t="shared" si="9"/>
        <v>0</v>
      </c>
      <c r="CJ19" s="40">
        <v>0</v>
      </c>
      <c r="CK19" s="33">
        <f t="shared" si="10"/>
        <v>0</v>
      </c>
      <c r="CL19" s="32">
        <v>0</v>
      </c>
      <c r="CO19" s="32">
        <f>CO18</f>
        <v>0</v>
      </c>
      <c r="CP19" s="5">
        <f>IF($G$22&gt;=7,1,0)</f>
        <v>0</v>
      </c>
      <c r="CQ19" s="32">
        <f t="shared" si="11"/>
        <v>0</v>
      </c>
      <c r="CR19" s="32">
        <f t="shared" si="12"/>
        <v>0</v>
      </c>
      <c r="CS19" s="32">
        <f t="shared" si="13"/>
        <v>0</v>
      </c>
      <c r="CT19" s="40">
        <f t="shared" si="14"/>
        <v>7.4999999999999997E-2</v>
      </c>
      <c r="CU19" s="34">
        <f t="shared" si="15"/>
        <v>0</v>
      </c>
    </row>
    <row r="20" spans="2:99" x14ac:dyDescent="0.3">
      <c r="B20" t="s">
        <v>23</v>
      </c>
      <c r="G20" s="47"/>
      <c r="H20" t="s">
        <v>88</v>
      </c>
      <c r="N20" s="10" t="s">
        <v>37</v>
      </c>
      <c r="O20" s="50">
        <f t="shared" si="0"/>
        <v>2</v>
      </c>
      <c r="P20" s="51">
        <f t="shared" si="0"/>
        <v>120000</v>
      </c>
      <c r="Q20" s="52">
        <f t="shared" si="0"/>
        <v>36000</v>
      </c>
      <c r="R20" s="52">
        <f t="shared" si="1"/>
        <v>1800</v>
      </c>
      <c r="S20" s="52">
        <f t="shared" si="2"/>
        <v>0</v>
      </c>
      <c r="T20" s="52">
        <f t="shared" si="3"/>
        <v>0</v>
      </c>
      <c r="U20" s="51">
        <f t="shared" si="3"/>
        <v>0</v>
      </c>
      <c r="V20" s="53">
        <f t="shared" si="3"/>
        <v>0</v>
      </c>
      <c r="W20" s="53">
        <f t="shared" si="4"/>
        <v>0</v>
      </c>
      <c r="X20" s="52">
        <f t="shared" si="5"/>
        <v>37800</v>
      </c>
      <c r="BZ20" s="5">
        <v>1</v>
      </c>
      <c r="CA20" s="31">
        <f t="shared" si="18"/>
        <v>2</v>
      </c>
      <c r="CB20" s="32">
        <f t="shared" si="6"/>
        <v>120000</v>
      </c>
      <c r="CC20" s="33">
        <f t="shared" si="7"/>
        <v>36000</v>
      </c>
      <c r="CD20" s="31">
        <f t="shared" si="16"/>
        <v>6</v>
      </c>
      <c r="CE20" s="34">
        <f t="shared" si="17"/>
        <v>108000</v>
      </c>
      <c r="CF20" s="40">
        <f>IFERROR(VLOOKUP(CE20,REF!$B$3:$E$10,MATCH(CD20,REF!$C$2:$E$2,1)+1,1),0)</f>
        <v>0.05</v>
      </c>
      <c r="CG20" s="33">
        <f t="shared" si="8"/>
        <v>1800</v>
      </c>
      <c r="CH20" s="40">
        <v>0</v>
      </c>
      <c r="CI20" s="33">
        <f t="shared" si="9"/>
        <v>0</v>
      </c>
      <c r="CJ20" s="40">
        <v>0</v>
      </c>
      <c r="CK20" s="33">
        <f t="shared" si="10"/>
        <v>0</v>
      </c>
      <c r="CL20" s="32">
        <v>0</v>
      </c>
      <c r="CO20" s="32">
        <f>CO19+C18</f>
        <v>0</v>
      </c>
      <c r="CP20" s="5">
        <v>1</v>
      </c>
      <c r="CQ20" s="32">
        <f t="shared" si="11"/>
        <v>0</v>
      </c>
      <c r="CR20" s="32">
        <f t="shared" si="12"/>
        <v>0</v>
      </c>
      <c r="CS20" s="32">
        <f t="shared" si="13"/>
        <v>0</v>
      </c>
      <c r="CT20" s="40">
        <f t="shared" si="14"/>
        <v>7.4999999999999997E-2</v>
      </c>
      <c r="CU20" s="34">
        <f t="shared" si="15"/>
        <v>0</v>
      </c>
    </row>
    <row r="21" spans="2:99" x14ac:dyDescent="0.3">
      <c r="B21" t="s">
        <v>24</v>
      </c>
      <c r="H21" s="48"/>
      <c r="N21" s="10" t="s">
        <v>39</v>
      </c>
      <c r="O21" s="50">
        <f t="shared" si="0"/>
        <v>2</v>
      </c>
      <c r="P21" s="51">
        <f t="shared" si="0"/>
        <v>120000</v>
      </c>
      <c r="Q21" s="52">
        <f t="shared" si="0"/>
        <v>36000</v>
      </c>
      <c r="R21" s="52">
        <f t="shared" si="1"/>
        <v>3600</v>
      </c>
      <c r="S21" s="52">
        <f t="shared" si="2"/>
        <v>0</v>
      </c>
      <c r="T21" s="52">
        <f t="shared" si="3"/>
        <v>3960.0000000000005</v>
      </c>
      <c r="U21" s="51">
        <f t="shared" si="3"/>
        <v>24000</v>
      </c>
      <c r="V21" s="53">
        <f t="shared" si="3"/>
        <v>0</v>
      </c>
      <c r="W21" s="53">
        <f t="shared" si="4"/>
        <v>0</v>
      </c>
      <c r="X21" s="52">
        <f t="shared" si="5"/>
        <v>67560</v>
      </c>
      <c r="BZ21" s="5">
        <f>IF($E$9&gt;=6,1,0)</f>
        <v>1</v>
      </c>
      <c r="CA21" s="31">
        <f t="shared" si="18"/>
        <v>2</v>
      </c>
      <c r="CB21" s="32">
        <f t="shared" si="6"/>
        <v>120000</v>
      </c>
      <c r="CC21" s="33">
        <f t="shared" si="7"/>
        <v>36000</v>
      </c>
      <c r="CD21" s="31">
        <f t="shared" si="16"/>
        <v>6</v>
      </c>
      <c r="CE21" s="34">
        <f t="shared" si="17"/>
        <v>108000</v>
      </c>
      <c r="CF21" s="41">
        <f>VLOOKUP(CE21,REF!$B$24:$C$30,2,1)</f>
        <v>0.1</v>
      </c>
      <c r="CG21" s="33">
        <f>CF21*CC21</f>
        <v>3600</v>
      </c>
      <c r="CH21" s="41">
        <f>VLOOKUP(CD21,REF!$M$16:$N$18,2,1)</f>
        <v>0</v>
      </c>
      <c r="CI21" s="43">
        <f t="shared" si="9"/>
        <v>0</v>
      </c>
      <c r="CJ21" s="41">
        <f>VLOOKUP(SUM($CC$9:$CC$20),REF!$O$2:$P$5,2,1)*IF(AND(SUM('Personal Earnings CALC'!$CA$9:$CA$20)&gt;=24,'Personal Earnings CALC'!$E$9&gt;=7),1,0)</f>
        <v>1.1000000000000001</v>
      </c>
      <c r="CK21" s="43">
        <f t="shared" si="10"/>
        <v>3960.0000000000005</v>
      </c>
      <c r="CL21" s="45">
        <f>CB9*0.2</f>
        <v>24000</v>
      </c>
      <c r="CM21" s="44"/>
      <c r="CO21" s="32">
        <f>CO20</f>
        <v>0</v>
      </c>
      <c r="CP21" s="5">
        <f>IF($G$22&gt;=6,1,0)</f>
        <v>0</v>
      </c>
      <c r="CQ21" s="32">
        <f t="shared" si="11"/>
        <v>0</v>
      </c>
      <c r="CR21" s="32">
        <f t="shared" si="12"/>
        <v>0</v>
      </c>
      <c r="CS21" s="32">
        <f t="shared" si="13"/>
        <v>0</v>
      </c>
      <c r="CT21" s="40">
        <f t="shared" si="14"/>
        <v>7.4999999999999997E-2</v>
      </c>
      <c r="CU21" s="34">
        <f t="shared" si="15"/>
        <v>0</v>
      </c>
    </row>
    <row r="22" spans="2:99" x14ac:dyDescent="0.3">
      <c r="B22" t="s">
        <v>25</v>
      </c>
      <c r="G22" s="48"/>
      <c r="H22" t="s">
        <v>26</v>
      </c>
      <c r="N22" s="10" t="s">
        <v>40</v>
      </c>
      <c r="O22" s="50">
        <f t="shared" si="0"/>
        <v>2</v>
      </c>
      <c r="P22" s="51">
        <f t="shared" si="0"/>
        <v>120000</v>
      </c>
      <c r="Q22" s="52">
        <f t="shared" si="0"/>
        <v>36000</v>
      </c>
      <c r="R22" s="52">
        <f t="shared" si="1"/>
        <v>3600</v>
      </c>
      <c r="S22" s="52">
        <f t="shared" si="2"/>
        <v>0</v>
      </c>
      <c r="T22" s="52">
        <f t="shared" si="3"/>
        <v>3960.0000000000005</v>
      </c>
      <c r="U22" s="51">
        <f t="shared" si="3"/>
        <v>24000</v>
      </c>
      <c r="V22" s="53">
        <f t="shared" si="3"/>
        <v>0</v>
      </c>
      <c r="W22" s="53">
        <f t="shared" si="4"/>
        <v>0</v>
      </c>
      <c r="X22" s="52">
        <f t="shared" si="5"/>
        <v>67560</v>
      </c>
      <c r="BZ22" s="5">
        <f>IF($E$9&gt;=5,1,0)</f>
        <v>1</v>
      </c>
      <c r="CA22" s="31">
        <f t="shared" si="18"/>
        <v>2</v>
      </c>
      <c r="CB22" s="32">
        <f t="shared" si="6"/>
        <v>120000</v>
      </c>
      <c r="CC22" s="33">
        <f t="shared" si="7"/>
        <v>36000</v>
      </c>
      <c r="CD22" s="31">
        <f t="shared" si="16"/>
        <v>6</v>
      </c>
      <c r="CE22" s="34">
        <f t="shared" si="17"/>
        <v>108000</v>
      </c>
      <c r="CF22" s="41">
        <f>VLOOKUP(CE22,REF!$B$24:$C$30,2,1)</f>
        <v>0.1</v>
      </c>
      <c r="CG22" s="33">
        <f t="shared" ref="CG22:CG44" si="19">CF22*CC22</f>
        <v>3600</v>
      </c>
      <c r="CH22" s="41">
        <f>VLOOKUP(CD22,REF!$M$16:$N$18,2,1)</f>
        <v>0</v>
      </c>
      <c r="CI22" s="43">
        <f t="shared" si="9"/>
        <v>0</v>
      </c>
      <c r="CJ22" s="41">
        <f>VLOOKUP(SUM($CC$9:$CC$20),REF!$O$2:$P$5,2,1)*IF(AND(SUM('Personal Earnings CALC'!$CA$9:$CA$20)&gt;=24,'Personal Earnings CALC'!$E$9&gt;=7),1,0)</f>
        <v>1.1000000000000001</v>
      </c>
      <c r="CK22" s="43">
        <f t="shared" si="10"/>
        <v>3960.0000000000005</v>
      </c>
      <c r="CL22" s="45">
        <f t="shared" ref="CL22:CL44" si="20">CB10*0.2</f>
        <v>24000</v>
      </c>
      <c r="CM22" s="44"/>
      <c r="CO22" s="32">
        <f>CO21</f>
        <v>0</v>
      </c>
      <c r="CP22" s="5">
        <f>IF($G$22&gt;=5,1,0)</f>
        <v>0</v>
      </c>
      <c r="CQ22" s="32">
        <f t="shared" si="11"/>
        <v>0</v>
      </c>
      <c r="CR22" s="32">
        <f t="shared" si="12"/>
        <v>0</v>
      </c>
      <c r="CS22" s="32">
        <f t="shared" si="13"/>
        <v>0</v>
      </c>
      <c r="CT22" s="40">
        <f t="shared" si="14"/>
        <v>7.4999999999999997E-2</v>
      </c>
      <c r="CU22" s="34">
        <f t="shared" si="15"/>
        <v>0</v>
      </c>
    </row>
    <row r="23" spans="2:99" x14ac:dyDescent="0.3">
      <c r="N23" s="10" t="s">
        <v>41</v>
      </c>
      <c r="O23" s="50">
        <f t="shared" si="0"/>
        <v>2</v>
      </c>
      <c r="P23" s="51">
        <f t="shared" si="0"/>
        <v>120000</v>
      </c>
      <c r="Q23" s="52">
        <f t="shared" si="0"/>
        <v>36000</v>
      </c>
      <c r="R23" s="52">
        <f t="shared" si="1"/>
        <v>3600</v>
      </c>
      <c r="S23" s="52">
        <f t="shared" si="2"/>
        <v>0</v>
      </c>
      <c r="T23" s="52">
        <f t="shared" si="3"/>
        <v>3960.0000000000005</v>
      </c>
      <c r="U23" s="51">
        <f t="shared" si="3"/>
        <v>24000</v>
      </c>
      <c r="V23" s="53">
        <f t="shared" si="3"/>
        <v>28800</v>
      </c>
      <c r="W23" s="53">
        <f t="shared" si="4"/>
        <v>0</v>
      </c>
      <c r="X23" s="52">
        <f t="shared" si="5"/>
        <v>96360</v>
      </c>
      <c r="BZ23" s="5">
        <v>1</v>
      </c>
      <c r="CA23" s="31">
        <f t="shared" si="18"/>
        <v>2</v>
      </c>
      <c r="CB23" s="32">
        <f t="shared" si="6"/>
        <v>120000</v>
      </c>
      <c r="CC23" s="33">
        <f t="shared" si="7"/>
        <v>36000</v>
      </c>
      <c r="CD23" s="31">
        <f t="shared" si="16"/>
        <v>6</v>
      </c>
      <c r="CE23" s="34">
        <f t="shared" si="17"/>
        <v>108000</v>
      </c>
      <c r="CF23" s="41">
        <f>VLOOKUP(CE23,REF!$B$24:$C$30,2,1)</f>
        <v>0.1</v>
      </c>
      <c r="CG23" s="33">
        <f t="shared" si="19"/>
        <v>3600</v>
      </c>
      <c r="CH23" s="41">
        <f>VLOOKUP(CD23,REF!$M$16:$N$18,2,1)</f>
        <v>0</v>
      </c>
      <c r="CI23" s="43">
        <f t="shared" si="9"/>
        <v>0</v>
      </c>
      <c r="CJ23" s="41">
        <f>VLOOKUP(SUM($CC$9:$CC$20),REF!$O$2:$P$5,2,1)*IF(AND(SUM('Personal Earnings CALC'!$CA$9:$CA$20)&gt;=24,'Personal Earnings CALC'!$E$9&gt;=7),1,0)</f>
        <v>1.1000000000000001</v>
      </c>
      <c r="CK23" s="43">
        <f t="shared" si="10"/>
        <v>3960.0000000000005</v>
      </c>
      <c r="CL23" s="45">
        <f t="shared" si="20"/>
        <v>24000</v>
      </c>
      <c r="CM23" s="43">
        <f>SUM(CL21:CL23)*0.4</f>
        <v>28800</v>
      </c>
      <c r="CO23" s="32">
        <f>CO22+E15</f>
        <v>0</v>
      </c>
      <c r="CP23" s="5">
        <v>1</v>
      </c>
      <c r="CQ23" s="32">
        <f t="shared" si="11"/>
        <v>0</v>
      </c>
      <c r="CR23" s="32">
        <f t="shared" si="12"/>
        <v>0</v>
      </c>
      <c r="CS23" s="32">
        <f t="shared" si="13"/>
        <v>0</v>
      </c>
      <c r="CT23" s="40">
        <f t="shared" si="14"/>
        <v>7.4999999999999997E-2</v>
      </c>
      <c r="CU23" s="34">
        <f t="shared" si="15"/>
        <v>0</v>
      </c>
    </row>
    <row r="24" spans="2:99" x14ac:dyDescent="0.3">
      <c r="B24" s="8" t="s">
        <v>94</v>
      </c>
      <c r="N24" s="10" t="s">
        <v>42</v>
      </c>
      <c r="O24" s="50">
        <f t="shared" si="0"/>
        <v>2</v>
      </c>
      <c r="P24" s="51">
        <f t="shared" si="0"/>
        <v>120000</v>
      </c>
      <c r="Q24" s="52">
        <f t="shared" si="0"/>
        <v>36000</v>
      </c>
      <c r="R24" s="52">
        <f t="shared" si="1"/>
        <v>3600</v>
      </c>
      <c r="S24" s="52">
        <f t="shared" si="2"/>
        <v>0</v>
      </c>
      <c r="T24" s="52">
        <f t="shared" si="3"/>
        <v>3960.0000000000005</v>
      </c>
      <c r="U24" s="51">
        <f t="shared" si="3"/>
        <v>24000</v>
      </c>
      <c r="V24" s="53">
        <f t="shared" si="3"/>
        <v>0</v>
      </c>
      <c r="W24" s="53">
        <f t="shared" si="4"/>
        <v>0</v>
      </c>
      <c r="X24" s="52">
        <f t="shared" si="5"/>
        <v>67560</v>
      </c>
      <c r="BZ24" s="5">
        <f>IF($E$9=12,1,0)</f>
        <v>1</v>
      </c>
      <c r="CA24" s="31">
        <f t="shared" si="18"/>
        <v>2</v>
      </c>
      <c r="CB24" s="32">
        <f t="shared" si="6"/>
        <v>120000</v>
      </c>
      <c r="CC24" s="33">
        <f t="shared" si="7"/>
        <v>36000</v>
      </c>
      <c r="CD24" s="31">
        <f t="shared" si="16"/>
        <v>6</v>
      </c>
      <c r="CE24" s="34">
        <f t="shared" si="17"/>
        <v>108000</v>
      </c>
      <c r="CF24" s="41">
        <f>VLOOKUP(CE24,REF!$B$24:$C$30,2,1)</f>
        <v>0.1</v>
      </c>
      <c r="CG24" s="33">
        <f t="shared" si="19"/>
        <v>3600</v>
      </c>
      <c r="CH24" s="41">
        <f>VLOOKUP(CD24,REF!$M$16:$N$18,2,1)</f>
        <v>0</v>
      </c>
      <c r="CI24" s="43">
        <f t="shared" si="9"/>
        <v>0</v>
      </c>
      <c r="CJ24" s="41">
        <f>VLOOKUP(SUM($CC$9:$CC$20),REF!$O$2:$P$5,2,1)*IF(AND(SUM('Personal Earnings CALC'!$CA$9:$CA$20)&gt;=24,'Personal Earnings CALC'!$E$9&gt;=7),1,0)</f>
        <v>1.1000000000000001</v>
      </c>
      <c r="CK24" s="43">
        <f t="shared" si="10"/>
        <v>3960.0000000000005</v>
      </c>
      <c r="CL24" s="45">
        <f t="shared" si="20"/>
        <v>24000</v>
      </c>
      <c r="CM24" s="44"/>
      <c r="CO24" s="32">
        <f>CO23</f>
        <v>0</v>
      </c>
      <c r="CP24" s="5">
        <f>IF($G$22=12,1,0)</f>
        <v>0</v>
      </c>
      <c r="CQ24" s="32">
        <f t="shared" si="11"/>
        <v>0</v>
      </c>
      <c r="CR24" s="32">
        <f t="shared" si="12"/>
        <v>0</v>
      </c>
      <c r="CS24" s="32">
        <f t="shared" si="13"/>
        <v>0</v>
      </c>
      <c r="CT24" s="40">
        <f t="shared" si="14"/>
        <v>7.4999999999999997E-2</v>
      </c>
      <c r="CU24" s="34">
        <f t="shared" si="15"/>
        <v>0</v>
      </c>
    </row>
    <row r="25" spans="2:99" x14ac:dyDescent="0.3">
      <c r="B25" s="8" t="s">
        <v>64</v>
      </c>
      <c r="N25" s="10" t="s">
        <v>43</v>
      </c>
      <c r="O25" s="50">
        <f t="shared" si="0"/>
        <v>2</v>
      </c>
      <c r="P25" s="51">
        <f t="shared" si="0"/>
        <v>120000</v>
      </c>
      <c r="Q25" s="52">
        <f t="shared" si="0"/>
        <v>36000</v>
      </c>
      <c r="R25" s="52">
        <f t="shared" si="1"/>
        <v>3600</v>
      </c>
      <c r="S25" s="52">
        <f t="shared" si="2"/>
        <v>0</v>
      </c>
      <c r="T25" s="52">
        <f t="shared" si="3"/>
        <v>3960.0000000000005</v>
      </c>
      <c r="U25" s="51">
        <f t="shared" si="3"/>
        <v>24000</v>
      </c>
      <c r="V25" s="53">
        <f t="shared" si="3"/>
        <v>0</v>
      </c>
      <c r="W25" s="53">
        <f t="shared" si="4"/>
        <v>0</v>
      </c>
      <c r="X25" s="52">
        <f t="shared" si="5"/>
        <v>67560</v>
      </c>
      <c r="BZ25" s="5">
        <f>IF($E$9&gt;=10,1,0)</f>
        <v>1</v>
      </c>
      <c r="CA25" s="31">
        <f t="shared" si="18"/>
        <v>2</v>
      </c>
      <c r="CB25" s="32">
        <f t="shared" si="6"/>
        <v>120000</v>
      </c>
      <c r="CC25" s="33">
        <f t="shared" si="7"/>
        <v>36000</v>
      </c>
      <c r="CD25" s="31">
        <f t="shared" si="16"/>
        <v>6</v>
      </c>
      <c r="CE25" s="34">
        <f t="shared" si="17"/>
        <v>108000</v>
      </c>
      <c r="CF25" s="41">
        <f>VLOOKUP(CE25,REF!$B$24:$C$30,2,1)</f>
        <v>0.1</v>
      </c>
      <c r="CG25" s="33">
        <f t="shared" si="19"/>
        <v>3600</v>
      </c>
      <c r="CH25" s="41">
        <f>VLOOKUP(CD25,REF!$M$16:$N$18,2,1)</f>
        <v>0</v>
      </c>
      <c r="CI25" s="43">
        <f t="shared" si="9"/>
        <v>0</v>
      </c>
      <c r="CJ25" s="41">
        <f>VLOOKUP(SUM($CC$9:$CC$20),REF!$O$2:$P$5,2,1)*IF(AND(SUM('Personal Earnings CALC'!$CA$9:$CA$20)&gt;=24,'Personal Earnings CALC'!$E$9&gt;=7),1,0)</f>
        <v>1.1000000000000001</v>
      </c>
      <c r="CK25" s="43">
        <f t="shared" si="10"/>
        <v>3960.0000000000005</v>
      </c>
      <c r="CL25" s="45">
        <f t="shared" si="20"/>
        <v>24000</v>
      </c>
      <c r="CM25" s="44"/>
      <c r="CO25" s="32">
        <f>CO24</f>
        <v>0</v>
      </c>
      <c r="CP25" s="5">
        <f>IF($G$22&gt;=10,1,0)</f>
        <v>0</v>
      </c>
      <c r="CQ25" s="32">
        <f t="shared" si="11"/>
        <v>0</v>
      </c>
      <c r="CR25" s="32">
        <f t="shared" si="12"/>
        <v>0</v>
      </c>
      <c r="CS25" s="32">
        <f t="shared" si="13"/>
        <v>0</v>
      </c>
      <c r="CT25" s="40">
        <f t="shared" si="14"/>
        <v>7.4999999999999997E-2</v>
      </c>
      <c r="CU25" s="34">
        <f t="shared" si="15"/>
        <v>0</v>
      </c>
    </row>
    <row r="26" spans="2:99" x14ac:dyDescent="0.3">
      <c r="N26" s="10" t="s">
        <v>44</v>
      </c>
      <c r="O26" s="50">
        <f t="shared" si="0"/>
        <v>2</v>
      </c>
      <c r="P26" s="51">
        <f t="shared" si="0"/>
        <v>120000</v>
      </c>
      <c r="Q26" s="52">
        <f t="shared" si="0"/>
        <v>36000</v>
      </c>
      <c r="R26" s="52">
        <f t="shared" si="1"/>
        <v>3600</v>
      </c>
      <c r="S26" s="52">
        <f t="shared" si="2"/>
        <v>0</v>
      </c>
      <c r="T26" s="52">
        <f t="shared" si="3"/>
        <v>3960.0000000000005</v>
      </c>
      <c r="U26" s="51">
        <f t="shared" si="3"/>
        <v>24000</v>
      </c>
      <c r="V26" s="53">
        <f t="shared" si="3"/>
        <v>28800</v>
      </c>
      <c r="W26" s="53">
        <f t="shared" si="4"/>
        <v>0</v>
      </c>
      <c r="X26" s="52">
        <f t="shared" si="5"/>
        <v>96360</v>
      </c>
      <c r="BZ26" s="5">
        <v>1</v>
      </c>
      <c r="CA26" s="31">
        <f t="shared" si="18"/>
        <v>2</v>
      </c>
      <c r="CB26" s="32">
        <f t="shared" si="6"/>
        <v>120000</v>
      </c>
      <c r="CC26" s="33">
        <f t="shared" si="7"/>
        <v>36000</v>
      </c>
      <c r="CD26" s="31">
        <f t="shared" si="16"/>
        <v>6</v>
      </c>
      <c r="CE26" s="34">
        <f t="shared" si="17"/>
        <v>108000</v>
      </c>
      <c r="CF26" s="41">
        <f>VLOOKUP(CE26,REF!$B$24:$C$30,2,1)</f>
        <v>0.1</v>
      </c>
      <c r="CG26" s="33">
        <f t="shared" si="19"/>
        <v>3600</v>
      </c>
      <c r="CH26" s="41">
        <f>VLOOKUP(CD26,REF!$M$16:$N$18,2,1)</f>
        <v>0</v>
      </c>
      <c r="CI26" s="43">
        <f t="shared" si="9"/>
        <v>0</v>
      </c>
      <c r="CJ26" s="41">
        <f>VLOOKUP(SUM($CC$9:$CC$20),REF!$O$2:$P$5,2,1)*IF(AND(SUM('Personal Earnings CALC'!$CA$9:$CA$20)&gt;=24,'Personal Earnings CALC'!$E$9&gt;=7),1,0)</f>
        <v>1.1000000000000001</v>
      </c>
      <c r="CK26" s="43">
        <f t="shared" si="10"/>
        <v>3960.0000000000005</v>
      </c>
      <c r="CL26" s="45">
        <f t="shared" si="20"/>
        <v>24000</v>
      </c>
      <c r="CM26" s="43">
        <f>SUM(CL24:CL26)*0.4</f>
        <v>28800</v>
      </c>
      <c r="CO26" s="32">
        <f>CO25+E16</f>
        <v>0</v>
      </c>
      <c r="CP26" s="5">
        <v>1</v>
      </c>
      <c r="CQ26" s="32">
        <f t="shared" si="11"/>
        <v>0</v>
      </c>
      <c r="CR26" s="32">
        <f t="shared" si="12"/>
        <v>0</v>
      </c>
      <c r="CS26" s="32">
        <f t="shared" si="13"/>
        <v>0</v>
      </c>
      <c r="CT26" s="40">
        <f t="shared" si="14"/>
        <v>7.4999999999999997E-2</v>
      </c>
      <c r="CU26" s="34">
        <f t="shared" si="15"/>
        <v>0</v>
      </c>
    </row>
    <row r="27" spans="2:99" x14ac:dyDescent="0.3">
      <c r="N27" s="10" t="s">
        <v>45</v>
      </c>
      <c r="O27" s="50">
        <f t="shared" si="0"/>
        <v>2</v>
      </c>
      <c r="P27" s="51">
        <f t="shared" si="0"/>
        <v>120000</v>
      </c>
      <c r="Q27" s="52">
        <f t="shared" si="0"/>
        <v>36000</v>
      </c>
      <c r="R27" s="52">
        <f t="shared" si="1"/>
        <v>3600</v>
      </c>
      <c r="S27" s="52">
        <f t="shared" si="2"/>
        <v>0</v>
      </c>
      <c r="T27" s="52">
        <f t="shared" si="3"/>
        <v>3960.0000000000005</v>
      </c>
      <c r="U27" s="51">
        <f t="shared" si="3"/>
        <v>24000</v>
      </c>
      <c r="V27" s="53">
        <f t="shared" si="3"/>
        <v>0</v>
      </c>
      <c r="W27" s="53">
        <f t="shared" si="4"/>
        <v>0</v>
      </c>
      <c r="X27" s="52">
        <f t="shared" si="5"/>
        <v>67560</v>
      </c>
      <c r="BZ27" s="5">
        <f>IF($E$9&gt;=11,1,0)</f>
        <v>1</v>
      </c>
      <c r="CA27" s="31">
        <f t="shared" si="18"/>
        <v>2</v>
      </c>
      <c r="CB27" s="32">
        <f t="shared" si="6"/>
        <v>120000</v>
      </c>
      <c r="CC27" s="33">
        <f t="shared" si="7"/>
        <v>36000</v>
      </c>
      <c r="CD27" s="31">
        <f t="shared" si="16"/>
        <v>6</v>
      </c>
      <c r="CE27" s="34">
        <f t="shared" si="17"/>
        <v>108000</v>
      </c>
      <c r="CF27" s="41">
        <f>VLOOKUP(CE27,REF!$B$24:$C$30,2,1)</f>
        <v>0.1</v>
      </c>
      <c r="CG27" s="33">
        <f t="shared" si="19"/>
        <v>3600</v>
      </c>
      <c r="CH27" s="41">
        <f>VLOOKUP(CD27,REF!$M$16:$N$18,2,1)</f>
        <v>0</v>
      </c>
      <c r="CI27" s="43">
        <f t="shared" si="9"/>
        <v>0</v>
      </c>
      <c r="CJ27" s="41">
        <f>VLOOKUP(SUM($CC$9:$CC$20),REF!$O$2:$P$5,2,1)*IF(AND(SUM('Personal Earnings CALC'!$CA$9:$CA$20)&gt;=24,'Personal Earnings CALC'!$E$9&gt;=7),1,0)</f>
        <v>1.1000000000000001</v>
      </c>
      <c r="CK27" s="43">
        <f t="shared" si="10"/>
        <v>3960.0000000000005</v>
      </c>
      <c r="CL27" s="45">
        <f t="shared" si="20"/>
        <v>24000</v>
      </c>
      <c r="CM27" s="44"/>
      <c r="CO27" s="32">
        <f>CO26</f>
        <v>0</v>
      </c>
      <c r="CP27" s="5">
        <f>IF($G$22&gt;=11,1,0)</f>
        <v>0</v>
      </c>
      <c r="CQ27" s="32">
        <f t="shared" si="11"/>
        <v>0</v>
      </c>
      <c r="CR27" s="32">
        <f t="shared" si="12"/>
        <v>0</v>
      </c>
      <c r="CS27" s="32">
        <f t="shared" si="13"/>
        <v>0</v>
      </c>
      <c r="CT27" s="40">
        <f t="shared" si="14"/>
        <v>7.4999999999999997E-2</v>
      </c>
      <c r="CU27" s="34">
        <f t="shared" si="15"/>
        <v>0</v>
      </c>
    </row>
    <row r="28" spans="2:99" x14ac:dyDescent="0.3">
      <c r="N28" s="10" t="s">
        <v>46</v>
      </c>
      <c r="O28" s="50">
        <f t="shared" si="0"/>
        <v>2</v>
      </c>
      <c r="P28" s="51">
        <f t="shared" si="0"/>
        <v>120000</v>
      </c>
      <c r="Q28" s="52">
        <f t="shared" si="0"/>
        <v>36000</v>
      </c>
      <c r="R28" s="52">
        <f t="shared" si="1"/>
        <v>3600</v>
      </c>
      <c r="S28" s="52">
        <f t="shared" si="2"/>
        <v>0</v>
      </c>
      <c r="T28" s="52">
        <f t="shared" si="3"/>
        <v>3960.0000000000005</v>
      </c>
      <c r="U28" s="51">
        <f t="shared" si="3"/>
        <v>24000</v>
      </c>
      <c r="V28" s="53">
        <f t="shared" si="3"/>
        <v>0</v>
      </c>
      <c r="W28" s="53">
        <f t="shared" si="4"/>
        <v>0</v>
      </c>
      <c r="X28" s="52">
        <f t="shared" si="5"/>
        <v>67560</v>
      </c>
      <c r="BZ28" s="5">
        <f>IF($E$9&gt;=9,1,0)</f>
        <v>1</v>
      </c>
      <c r="CA28" s="31">
        <f t="shared" si="18"/>
        <v>2</v>
      </c>
      <c r="CB28" s="32">
        <f t="shared" si="6"/>
        <v>120000</v>
      </c>
      <c r="CC28" s="33">
        <f t="shared" si="7"/>
        <v>36000</v>
      </c>
      <c r="CD28" s="31">
        <f t="shared" si="16"/>
        <v>6</v>
      </c>
      <c r="CE28" s="34">
        <f t="shared" si="17"/>
        <v>108000</v>
      </c>
      <c r="CF28" s="41">
        <f>VLOOKUP(CE28,REF!$B$24:$C$30,2,1)</f>
        <v>0.1</v>
      </c>
      <c r="CG28" s="33">
        <f t="shared" si="19"/>
        <v>3600</v>
      </c>
      <c r="CH28" s="41">
        <f>VLOOKUP(CD28,REF!$M$16:$N$18,2,1)</f>
        <v>0</v>
      </c>
      <c r="CI28" s="43">
        <f t="shared" si="9"/>
        <v>0</v>
      </c>
      <c r="CJ28" s="41">
        <f>VLOOKUP(SUM($CC$9:$CC$20),REF!$O$2:$P$5,2,1)*IF(AND(SUM('Personal Earnings CALC'!$CA$9:$CA$20)&gt;=24,'Personal Earnings CALC'!$E$9&gt;=7),1,0)</f>
        <v>1.1000000000000001</v>
      </c>
      <c r="CK28" s="43">
        <f t="shared" si="10"/>
        <v>3960.0000000000005</v>
      </c>
      <c r="CL28" s="45">
        <f t="shared" si="20"/>
        <v>24000</v>
      </c>
      <c r="CM28" s="44"/>
      <c r="CO28" s="32">
        <f>CO27</f>
        <v>0</v>
      </c>
      <c r="CP28" s="5">
        <f>IF($G$22&gt;=9,1,0)</f>
        <v>0</v>
      </c>
      <c r="CQ28" s="32">
        <f t="shared" si="11"/>
        <v>0</v>
      </c>
      <c r="CR28" s="32">
        <f t="shared" si="12"/>
        <v>0</v>
      </c>
      <c r="CS28" s="32">
        <f t="shared" si="13"/>
        <v>0</v>
      </c>
      <c r="CT28" s="40">
        <f t="shared" si="14"/>
        <v>7.4999999999999997E-2</v>
      </c>
      <c r="CU28" s="34">
        <f t="shared" si="15"/>
        <v>0</v>
      </c>
    </row>
    <row r="29" spans="2:99" x14ac:dyDescent="0.3">
      <c r="N29" s="10" t="s">
        <v>47</v>
      </c>
      <c r="O29" s="50">
        <f t="shared" si="0"/>
        <v>2</v>
      </c>
      <c r="P29" s="51">
        <f t="shared" si="0"/>
        <v>120000</v>
      </c>
      <c r="Q29" s="52">
        <f t="shared" si="0"/>
        <v>36000</v>
      </c>
      <c r="R29" s="52">
        <f t="shared" si="1"/>
        <v>3600</v>
      </c>
      <c r="S29" s="52">
        <f t="shared" si="2"/>
        <v>0</v>
      </c>
      <c r="T29" s="52">
        <f t="shared" si="3"/>
        <v>3960.0000000000005</v>
      </c>
      <c r="U29" s="51">
        <f t="shared" si="3"/>
        <v>24000</v>
      </c>
      <c r="V29" s="53">
        <f t="shared" si="3"/>
        <v>28800</v>
      </c>
      <c r="W29" s="53">
        <f t="shared" si="4"/>
        <v>0</v>
      </c>
      <c r="X29" s="52">
        <f t="shared" si="5"/>
        <v>96360</v>
      </c>
      <c r="BZ29" s="5">
        <v>1</v>
      </c>
      <c r="CA29" s="31">
        <f t="shared" si="18"/>
        <v>2</v>
      </c>
      <c r="CB29" s="32">
        <f t="shared" si="6"/>
        <v>120000</v>
      </c>
      <c r="CC29" s="33">
        <f t="shared" si="7"/>
        <v>36000</v>
      </c>
      <c r="CD29" s="31">
        <f t="shared" si="16"/>
        <v>6</v>
      </c>
      <c r="CE29" s="34">
        <f t="shared" si="17"/>
        <v>108000</v>
      </c>
      <c r="CF29" s="41">
        <f>VLOOKUP(CE29,REF!$B$24:$C$30,2,1)</f>
        <v>0.1</v>
      </c>
      <c r="CG29" s="33">
        <f t="shared" si="19"/>
        <v>3600</v>
      </c>
      <c r="CH29" s="41">
        <f>VLOOKUP(CD29,REF!$M$16:$N$18,2,1)</f>
        <v>0</v>
      </c>
      <c r="CI29" s="43">
        <f t="shared" si="9"/>
        <v>0</v>
      </c>
      <c r="CJ29" s="41">
        <f>VLOOKUP(SUM($CC$9:$CC$20),REF!$O$2:$P$5,2,1)*IF(AND(SUM('Personal Earnings CALC'!$CA$9:$CA$20)&gt;=24,'Personal Earnings CALC'!$E$9&gt;=7),1,0)</f>
        <v>1.1000000000000001</v>
      </c>
      <c r="CK29" s="43">
        <f t="shared" si="10"/>
        <v>3960.0000000000005</v>
      </c>
      <c r="CL29" s="45">
        <f t="shared" si="20"/>
        <v>24000</v>
      </c>
      <c r="CM29" s="43">
        <f>SUM(CL27:CL29)*0.4</f>
        <v>28800</v>
      </c>
      <c r="CO29" s="32">
        <f>CO28+E17</f>
        <v>0</v>
      </c>
      <c r="CP29" s="5">
        <v>1</v>
      </c>
      <c r="CQ29" s="32">
        <f t="shared" si="11"/>
        <v>0</v>
      </c>
      <c r="CR29" s="32">
        <f t="shared" si="12"/>
        <v>0</v>
      </c>
      <c r="CS29" s="32">
        <f t="shared" si="13"/>
        <v>0</v>
      </c>
      <c r="CT29" s="40">
        <f t="shared" si="14"/>
        <v>7.4999999999999997E-2</v>
      </c>
      <c r="CU29" s="34">
        <f t="shared" si="15"/>
        <v>0</v>
      </c>
    </row>
    <row r="30" spans="2:99" x14ac:dyDescent="0.3">
      <c r="N30" s="10" t="s">
        <v>48</v>
      </c>
      <c r="O30" s="50">
        <f t="shared" si="0"/>
        <v>2</v>
      </c>
      <c r="P30" s="51">
        <f t="shared" si="0"/>
        <v>120000</v>
      </c>
      <c r="Q30" s="52">
        <f t="shared" si="0"/>
        <v>36000</v>
      </c>
      <c r="R30" s="52">
        <f t="shared" si="1"/>
        <v>3600</v>
      </c>
      <c r="S30" s="52">
        <f t="shared" si="2"/>
        <v>0</v>
      </c>
      <c r="T30" s="52">
        <f t="shared" si="3"/>
        <v>3960.0000000000005</v>
      </c>
      <c r="U30" s="51">
        <f t="shared" si="3"/>
        <v>24000</v>
      </c>
      <c r="V30" s="53">
        <f t="shared" si="3"/>
        <v>0</v>
      </c>
      <c r="W30" s="53">
        <f t="shared" si="4"/>
        <v>0</v>
      </c>
      <c r="X30" s="52">
        <f t="shared" si="5"/>
        <v>67560</v>
      </c>
      <c r="BZ30" s="5">
        <f>IF($E$9&gt;=8,1,0)</f>
        <v>1</v>
      </c>
      <c r="CA30" s="31">
        <f t="shared" si="18"/>
        <v>2</v>
      </c>
      <c r="CB30" s="32">
        <f t="shared" si="6"/>
        <v>120000</v>
      </c>
      <c r="CC30" s="33">
        <f t="shared" si="7"/>
        <v>36000</v>
      </c>
      <c r="CD30" s="31">
        <f t="shared" si="16"/>
        <v>6</v>
      </c>
      <c r="CE30" s="34">
        <f t="shared" si="17"/>
        <v>108000</v>
      </c>
      <c r="CF30" s="41">
        <f>VLOOKUP(CE30,REF!$B$24:$C$30,2,1)</f>
        <v>0.1</v>
      </c>
      <c r="CG30" s="33">
        <f t="shared" si="19"/>
        <v>3600</v>
      </c>
      <c r="CH30" s="41">
        <f>VLOOKUP(CD30,REF!$M$16:$N$18,2,1)</f>
        <v>0</v>
      </c>
      <c r="CI30" s="43">
        <f t="shared" si="9"/>
        <v>0</v>
      </c>
      <c r="CJ30" s="41">
        <f>VLOOKUP(SUM($CC$9:$CC$20),REF!$O$2:$P$5,2,1)*IF(AND(SUM('Personal Earnings CALC'!$CA$9:$CA$20)&gt;=24,'Personal Earnings CALC'!$E$9&gt;=7),1,0)</f>
        <v>1.1000000000000001</v>
      </c>
      <c r="CK30" s="43">
        <f t="shared" si="10"/>
        <v>3960.0000000000005</v>
      </c>
      <c r="CL30" s="45">
        <f t="shared" si="20"/>
        <v>24000</v>
      </c>
      <c r="CM30" s="44"/>
      <c r="CO30" s="32">
        <f>CO29</f>
        <v>0</v>
      </c>
      <c r="CP30" s="5">
        <f>IF($G$22&gt;=8,1,0)</f>
        <v>0</v>
      </c>
      <c r="CQ30" s="32">
        <f t="shared" si="11"/>
        <v>0</v>
      </c>
      <c r="CR30" s="32">
        <f t="shared" si="12"/>
        <v>0</v>
      </c>
      <c r="CS30" s="32">
        <f t="shared" si="13"/>
        <v>0</v>
      </c>
      <c r="CT30" s="40">
        <f t="shared" si="14"/>
        <v>7.4999999999999997E-2</v>
      </c>
      <c r="CU30" s="34">
        <f t="shared" si="15"/>
        <v>0</v>
      </c>
    </row>
    <row r="31" spans="2:99" x14ac:dyDescent="0.3">
      <c r="N31" s="10" t="s">
        <v>49</v>
      </c>
      <c r="O31" s="50">
        <f t="shared" si="0"/>
        <v>2</v>
      </c>
      <c r="P31" s="51">
        <f t="shared" si="0"/>
        <v>120000</v>
      </c>
      <c r="Q31" s="52">
        <f t="shared" si="0"/>
        <v>36000</v>
      </c>
      <c r="R31" s="52">
        <f t="shared" si="1"/>
        <v>3600</v>
      </c>
      <c r="S31" s="52">
        <f t="shared" si="2"/>
        <v>0</v>
      </c>
      <c r="T31" s="52">
        <f t="shared" si="3"/>
        <v>3960.0000000000005</v>
      </c>
      <c r="U31" s="51">
        <f t="shared" si="3"/>
        <v>24000</v>
      </c>
      <c r="V31" s="53">
        <f t="shared" si="3"/>
        <v>0</v>
      </c>
      <c r="W31" s="53">
        <f t="shared" si="4"/>
        <v>0</v>
      </c>
      <c r="X31" s="52">
        <f t="shared" si="5"/>
        <v>67560</v>
      </c>
      <c r="BZ31" s="5">
        <f>IF($E$9&gt;=7,1,0)</f>
        <v>1</v>
      </c>
      <c r="CA31" s="31">
        <f t="shared" si="18"/>
        <v>2</v>
      </c>
      <c r="CB31" s="32">
        <f t="shared" si="6"/>
        <v>120000</v>
      </c>
      <c r="CC31" s="33">
        <f t="shared" si="7"/>
        <v>36000</v>
      </c>
      <c r="CD31" s="31">
        <f t="shared" si="16"/>
        <v>6</v>
      </c>
      <c r="CE31" s="34">
        <f t="shared" si="17"/>
        <v>108000</v>
      </c>
      <c r="CF31" s="41">
        <f>VLOOKUP(CE31,REF!$B$24:$C$30,2,1)</f>
        <v>0.1</v>
      </c>
      <c r="CG31" s="33">
        <f t="shared" si="19"/>
        <v>3600</v>
      </c>
      <c r="CH31" s="41">
        <f>VLOOKUP(CD31,REF!$M$16:$N$18,2,1)</f>
        <v>0</v>
      </c>
      <c r="CI31" s="43">
        <f t="shared" si="9"/>
        <v>0</v>
      </c>
      <c r="CJ31" s="41">
        <f>VLOOKUP(SUM($CC$9:$CC$20),REF!$O$2:$P$5,2,1)*IF(AND(SUM('Personal Earnings CALC'!$CA$9:$CA$20)&gt;=24,'Personal Earnings CALC'!$E$9&gt;=7),1,0)</f>
        <v>1.1000000000000001</v>
      </c>
      <c r="CK31" s="43">
        <f t="shared" si="10"/>
        <v>3960.0000000000005</v>
      </c>
      <c r="CL31" s="45">
        <f t="shared" si="20"/>
        <v>24000</v>
      </c>
      <c r="CM31" s="44"/>
      <c r="CO31" s="32">
        <f>CO30</f>
        <v>0</v>
      </c>
      <c r="CP31" s="5">
        <f>IF($G$22&gt;=7,1,0)</f>
        <v>0</v>
      </c>
      <c r="CQ31" s="32">
        <f t="shared" si="11"/>
        <v>0</v>
      </c>
      <c r="CR31" s="32">
        <f t="shared" si="12"/>
        <v>0</v>
      </c>
      <c r="CS31" s="32">
        <f t="shared" si="13"/>
        <v>0</v>
      </c>
      <c r="CT31" s="40">
        <f t="shared" si="14"/>
        <v>7.4999999999999997E-2</v>
      </c>
      <c r="CU31" s="34">
        <f t="shared" si="15"/>
        <v>0</v>
      </c>
    </row>
    <row r="32" spans="2:99" x14ac:dyDescent="0.3">
      <c r="N32" s="10" t="s">
        <v>50</v>
      </c>
      <c r="O32" s="50">
        <f t="shared" si="0"/>
        <v>2</v>
      </c>
      <c r="P32" s="51">
        <f t="shared" si="0"/>
        <v>120000</v>
      </c>
      <c r="Q32" s="52">
        <f t="shared" si="0"/>
        <v>36000</v>
      </c>
      <c r="R32" s="52">
        <f t="shared" si="1"/>
        <v>3600</v>
      </c>
      <c r="S32" s="52">
        <f t="shared" si="2"/>
        <v>0</v>
      </c>
      <c r="T32" s="52">
        <f t="shared" si="3"/>
        <v>3960.0000000000005</v>
      </c>
      <c r="U32" s="51">
        <f t="shared" si="3"/>
        <v>24000</v>
      </c>
      <c r="V32" s="53">
        <f t="shared" si="3"/>
        <v>28800</v>
      </c>
      <c r="W32" s="53">
        <f t="shared" si="4"/>
        <v>0</v>
      </c>
      <c r="X32" s="52">
        <f t="shared" si="5"/>
        <v>96360</v>
      </c>
      <c r="BZ32" s="5">
        <v>1</v>
      </c>
      <c r="CA32" s="31">
        <f t="shared" si="18"/>
        <v>2</v>
      </c>
      <c r="CB32" s="32">
        <f t="shared" si="6"/>
        <v>120000</v>
      </c>
      <c r="CC32" s="33">
        <f t="shared" si="7"/>
        <v>36000</v>
      </c>
      <c r="CD32" s="31">
        <f t="shared" si="16"/>
        <v>6</v>
      </c>
      <c r="CE32" s="34">
        <f t="shared" si="17"/>
        <v>108000</v>
      </c>
      <c r="CF32" s="41">
        <f>VLOOKUP(CE32,REF!$B$24:$C$30,2,1)</f>
        <v>0.1</v>
      </c>
      <c r="CG32" s="33">
        <f t="shared" si="19"/>
        <v>3600</v>
      </c>
      <c r="CH32" s="41">
        <f>VLOOKUP(CD32,REF!$M$16:$N$18,2,1)</f>
        <v>0</v>
      </c>
      <c r="CI32" s="43">
        <f t="shared" si="9"/>
        <v>0</v>
      </c>
      <c r="CJ32" s="41">
        <f>VLOOKUP(SUM($CC$9:$CC$20),REF!$O$2:$P$5,2,1)*IF(AND(SUM('Personal Earnings CALC'!$CA$9:$CA$20)&gt;=24,'Personal Earnings CALC'!$E$9&gt;=7),1,0)</f>
        <v>1.1000000000000001</v>
      </c>
      <c r="CK32" s="43">
        <f t="shared" si="10"/>
        <v>3960.0000000000005</v>
      </c>
      <c r="CL32" s="45">
        <f t="shared" si="20"/>
        <v>24000</v>
      </c>
      <c r="CM32" s="43">
        <f>SUM(CL30:CL32)*0.4</f>
        <v>28800</v>
      </c>
      <c r="CO32" s="32">
        <f>CO31+E18</f>
        <v>0</v>
      </c>
      <c r="CP32" s="5">
        <v>1</v>
      </c>
      <c r="CQ32" s="32">
        <f t="shared" si="11"/>
        <v>0</v>
      </c>
      <c r="CR32" s="32">
        <f t="shared" si="12"/>
        <v>0</v>
      </c>
      <c r="CS32" s="32">
        <f t="shared" si="13"/>
        <v>0</v>
      </c>
      <c r="CT32" s="40">
        <f t="shared" si="14"/>
        <v>7.4999999999999997E-2</v>
      </c>
      <c r="CU32" s="34">
        <f t="shared" si="15"/>
        <v>0</v>
      </c>
    </row>
    <row r="33" spans="14:99" x14ac:dyDescent="0.3">
      <c r="N33" s="10" t="s">
        <v>51</v>
      </c>
      <c r="O33" s="50">
        <f t="shared" si="0"/>
        <v>2</v>
      </c>
      <c r="P33" s="51">
        <f t="shared" si="0"/>
        <v>120000</v>
      </c>
      <c r="Q33" s="52">
        <f t="shared" si="0"/>
        <v>36000</v>
      </c>
      <c r="R33" s="52">
        <f t="shared" si="1"/>
        <v>3600</v>
      </c>
      <c r="S33" s="52">
        <f t="shared" si="2"/>
        <v>0</v>
      </c>
      <c r="T33" s="52">
        <f t="shared" si="3"/>
        <v>3960.0000000000005</v>
      </c>
      <c r="U33" s="51">
        <f t="shared" si="3"/>
        <v>24000</v>
      </c>
      <c r="V33" s="53">
        <f t="shared" si="3"/>
        <v>0</v>
      </c>
      <c r="W33" s="53">
        <f t="shared" si="4"/>
        <v>0</v>
      </c>
      <c r="X33" s="52">
        <f t="shared" si="5"/>
        <v>67560</v>
      </c>
      <c r="BZ33" s="5">
        <f>IF($E$9&gt;=6,1,0)</f>
        <v>1</v>
      </c>
      <c r="CA33" s="31">
        <f t="shared" si="18"/>
        <v>2</v>
      </c>
      <c r="CB33" s="32">
        <f t="shared" si="6"/>
        <v>120000</v>
      </c>
      <c r="CC33" s="33">
        <f t="shared" si="7"/>
        <v>36000</v>
      </c>
      <c r="CD33" s="31">
        <f t="shared" si="16"/>
        <v>6</v>
      </c>
      <c r="CE33" s="34">
        <f t="shared" si="17"/>
        <v>108000</v>
      </c>
      <c r="CF33" s="41">
        <f>VLOOKUP(CE33,REF!$B$24:$C$30,2,1)</f>
        <v>0.1</v>
      </c>
      <c r="CG33" s="33">
        <f t="shared" si="19"/>
        <v>3600</v>
      </c>
      <c r="CH33" s="41">
        <f>VLOOKUP(CD33,REF!$M$16:$N$18,2,1)</f>
        <v>0</v>
      </c>
      <c r="CI33" s="43">
        <f t="shared" si="9"/>
        <v>0</v>
      </c>
      <c r="CJ33" s="41">
        <f>VLOOKUP(SUM($CC$9:$CC$20),REF!$O$2:$P$5,2,1)*IF(AND(SUM('Personal Earnings CALC'!$CA$9:$CA$20)&gt;=24,'Personal Earnings CALC'!$E$9&gt;=7),1,0)</f>
        <v>1.1000000000000001</v>
      </c>
      <c r="CK33" s="43">
        <f t="shared" si="10"/>
        <v>3960.0000000000005</v>
      </c>
      <c r="CL33" s="45">
        <f t="shared" si="20"/>
        <v>24000</v>
      </c>
      <c r="CM33" s="44"/>
      <c r="CO33" s="32">
        <f>CO32</f>
        <v>0</v>
      </c>
      <c r="CP33" s="5">
        <f>IF($G$22&gt;=6,1,0)</f>
        <v>0</v>
      </c>
      <c r="CQ33" s="32">
        <f t="shared" si="11"/>
        <v>0</v>
      </c>
      <c r="CR33" s="32">
        <f t="shared" si="12"/>
        <v>0</v>
      </c>
      <c r="CS33" s="32">
        <f t="shared" si="13"/>
        <v>0</v>
      </c>
      <c r="CT33" s="40">
        <f t="shared" si="14"/>
        <v>7.4999999999999997E-2</v>
      </c>
      <c r="CU33" s="34">
        <f t="shared" si="15"/>
        <v>0</v>
      </c>
    </row>
    <row r="34" spans="14:99" x14ac:dyDescent="0.3">
      <c r="N34" s="10" t="s">
        <v>52</v>
      </c>
      <c r="O34" s="50">
        <f t="shared" si="0"/>
        <v>2</v>
      </c>
      <c r="P34" s="51">
        <f t="shared" si="0"/>
        <v>120000</v>
      </c>
      <c r="Q34" s="52">
        <f t="shared" si="0"/>
        <v>36000</v>
      </c>
      <c r="R34" s="52">
        <f t="shared" si="1"/>
        <v>3600</v>
      </c>
      <c r="S34" s="52">
        <f t="shared" si="2"/>
        <v>0</v>
      </c>
      <c r="T34" s="52">
        <f t="shared" si="3"/>
        <v>3960.0000000000005</v>
      </c>
      <c r="U34" s="51">
        <f t="shared" si="3"/>
        <v>24000</v>
      </c>
      <c r="V34" s="53">
        <f t="shared" si="3"/>
        <v>0</v>
      </c>
      <c r="W34" s="53">
        <f t="shared" si="4"/>
        <v>0</v>
      </c>
      <c r="X34" s="52">
        <f t="shared" si="5"/>
        <v>67560</v>
      </c>
      <c r="BZ34" s="5">
        <f>IF($E$9&gt;=5,1,0)</f>
        <v>1</v>
      </c>
      <c r="CA34" s="31">
        <f t="shared" si="18"/>
        <v>2</v>
      </c>
      <c r="CB34" s="32">
        <f t="shared" si="6"/>
        <v>120000</v>
      </c>
      <c r="CC34" s="33">
        <f t="shared" si="7"/>
        <v>36000</v>
      </c>
      <c r="CD34" s="31">
        <f t="shared" si="16"/>
        <v>6</v>
      </c>
      <c r="CE34" s="34">
        <f t="shared" si="17"/>
        <v>108000</v>
      </c>
      <c r="CF34" s="41">
        <f>VLOOKUP(CE34,REF!$B$24:$C$30,2,1)</f>
        <v>0.1</v>
      </c>
      <c r="CG34" s="33">
        <f t="shared" si="19"/>
        <v>3600</v>
      </c>
      <c r="CH34" s="41">
        <f>VLOOKUP(CD34,REF!$M$16:$N$18,2,1)</f>
        <v>0</v>
      </c>
      <c r="CI34" s="43">
        <f t="shared" si="9"/>
        <v>0</v>
      </c>
      <c r="CJ34" s="41">
        <f>VLOOKUP(SUM($CC$9:$CC$20),REF!$O$2:$P$5,2,1)*IF(AND(SUM('Personal Earnings CALC'!$CA$9:$CA$20)&gt;=24,'Personal Earnings CALC'!$E$9&gt;=7),1,0)</f>
        <v>1.1000000000000001</v>
      </c>
      <c r="CK34" s="43">
        <f t="shared" si="10"/>
        <v>3960.0000000000005</v>
      </c>
      <c r="CL34" s="45">
        <f t="shared" si="20"/>
        <v>24000</v>
      </c>
      <c r="CM34" s="44"/>
      <c r="CO34" s="32">
        <f>CO33</f>
        <v>0</v>
      </c>
      <c r="CP34" s="5">
        <f>IF($G$22&gt;=5,1,0)</f>
        <v>0</v>
      </c>
      <c r="CQ34" s="32">
        <f t="shared" si="11"/>
        <v>0</v>
      </c>
      <c r="CR34" s="32">
        <f t="shared" si="12"/>
        <v>0</v>
      </c>
      <c r="CS34" s="32">
        <f t="shared" si="13"/>
        <v>0</v>
      </c>
      <c r="CT34" s="40">
        <f t="shared" si="14"/>
        <v>7.4999999999999997E-2</v>
      </c>
      <c r="CU34" s="34">
        <f t="shared" si="15"/>
        <v>0</v>
      </c>
    </row>
    <row r="35" spans="14:99" x14ac:dyDescent="0.3">
      <c r="N35" s="10" t="s">
        <v>53</v>
      </c>
      <c r="O35" s="50">
        <f t="shared" si="0"/>
        <v>2</v>
      </c>
      <c r="P35" s="51">
        <f t="shared" si="0"/>
        <v>120000</v>
      </c>
      <c r="Q35" s="52">
        <f t="shared" si="0"/>
        <v>36000</v>
      </c>
      <c r="R35" s="52">
        <f t="shared" si="1"/>
        <v>3600</v>
      </c>
      <c r="S35" s="52">
        <f t="shared" si="2"/>
        <v>0</v>
      </c>
      <c r="T35" s="52">
        <f t="shared" si="3"/>
        <v>3960.0000000000005</v>
      </c>
      <c r="U35" s="51">
        <f t="shared" si="3"/>
        <v>24000</v>
      </c>
      <c r="V35" s="53">
        <f t="shared" si="3"/>
        <v>28800</v>
      </c>
      <c r="W35" s="53">
        <f t="shared" si="4"/>
        <v>0</v>
      </c>
      <c r="X35" s="52">
        <f t="shared" si="5"/>
        <v>96360</v>
      </c>
      <c r="BZ35" s="5">
        <v>1</v>
      </c>
      <c r="CA35" s="31">
        <f t="shared" si="18"/>
        <v>2</v>
      </c>
      <c r="CB35" s="32">
        <f t="shared" si="6"/>
        <v>120000</v>
      </c>
      <c r="CC35" s="33">
        <f t="shared" si="7"/>
        <v>36000</v>
      </c>
      <c r="CD35" s="31">
        <f t="shared" si="16"/>
        <v>6</v>
      </c>
      <c r="CE35" s="34">
        <f t="shared" si="17"/>
        <v>108000</v>
      </c>
      <c r="CF35" s="41">
        <f>VLOOKUP(CE35,REF!$B$24:$C$30,2,1)</f>
        <v>0.1</v>
      </c>
      <c r="CG35" s="33">
        <f t="shared" si="19"/>
        <v>3600</v>
      </c>
      <c r="CH35" s="41">
        <f>VLOOKUP(CD35,REF!$M$16:$N$18,2,1)</f>
        <v>0</v>
      </c>
      <c r="CI35" s="43">
        <f t="shared" si="9"/>
        <v>0</v>
      </c>
      <c r="CJ35" s="41">
        <f>VLOOKUP(SUM($CC$9:$CC$20),REF!$O$2:$P$5,2,1)*IF(AND(SUM('Personal Earnings CALC'!$CA$9:$CA$20)&gt;=24,'Personal Earnings CALC'!$E$9&gt;=7),1,0)</f>
        <v>1.1000000000000001</v>
      </c>
      <c r="CK35" s="43">
        <f t="shared" si="10"/>
        <v>3960.0000000000005</v>
      </c>
      <c r="CL35" s="45">
        <f t="shared" si="20"/>
        <v>24000</v>
      </c>
      <c r="CM35" s="43">
        <f>SUM(CL33:CL35)*0.4</f>
        <v>28800</v>
      </c>
      <c r="CO35" s="32">
        <f>CO34+G15</f>
        <v>0</v>
      </c>
      <c r="CP35" s="5">
        <v>1</v>
      </c>
      <c r="CQ35" s="32">
        <f t="shared" si="11"/>
        <v>0</v>
      </c>
      <c r="CR35" s="32">
        <f t="shared" si="12"/>
        <v>0</v>
      </c>
      <c r="CS35" s="32">
        <f t="shared" si="13"/>
        <v>0</v>
      </c>
      <c r="CT35" s="40">
        <f t="shared" si="14"/>
        <v>7.4999999999999997E-2</v>
      </c>
      <c r="CU35" s="34">
        <f t="shared" si="15"/>
        <v>0</v>
      </c>
    </row>
    <row r="36" spans="14:99" x14ac:dyDescent="0.3">
      <c r="N36" s="10" t="s">
        <v>54</v>
      </c>
      <c r="O36" s="50">
        <f t="shared" si="0"/>
        <v>2</v>
      </c>
      <c r="P36" s="51">
        <f t="shared" si="0"/>
        <v>120000</v>
      </c>
      <c r="Q36" s="52">
        <f t="shared" si="0"/>
        <v>36000</v>
      </c>
      <c r="R36" s="52">
        <f t="shared" si="1"/>
        <v>3600</v>
      </c>
      <c r="S36" s="52">
        <f t="shared" si="2"/>
        <v>0</v>
      </c>
      <c r="T36" s="52">
        <f t="shared" si="3"/>
        <v>3960.0000000000005</v>
      </c>
      <c r="U36" s="51">
        <f t="shared" si="3"/>
        <v>24000</v>
      </c>
      <c r="V36" s="53">
        <f t="shared" si="3"/>
        <v>0</v>
      </c>
      <c r="W36" s="53">
        <f t="shared" si="4"/>
        <v>0</v>
      </c>
      <c r="X36" s="52">
        <f t="shared" si="5"/>
        <v>67560</v>
      </c>
      <c r="BZ36" s="5">
        <f>IF($E$9=12,1,0)</f>
        <v>1</v>
      </c>
      <c r="CA36" s="31">
        <f t="shared" si="18"/>
        <v>2</v>
      </c>
      <c r="CB36" s="32">
        <f t="shared" si="6"/>
        <v>120000</v>
      </c>
      <c r="CC36" s="33">
        <f t="shared" si="7"/>
        <v>36000</v>
      </c>
      <c r="CD36" s="31">
        <f t="shared" si="16"/>
        <v>6</v>
      </c>
      <c r="CE36" s="34">
        <f t="shared" si="17"/>
        <v>108000</v>
      </c>
      <c r="CF36" s="41">
        <f>VLOOKUP(CE36,REF!$B$24:$C$30,2,1)</f>
        <v>0.1</v>
      </c>
      <c r="CG36" s="33">
        <f t="shared" si="19"/>
        <v>3600</v>
      </c>
      <c r="CH36" s="41">
        <f>VLOOKUP(CD36,REF!$M$16:$N$18,2,1)</f>
        <v>0</v>
      </c>
      <c r="CI36" s="43">
        <f t="shared" si="9"/>
        <v>0</v>
      </c>
      <c r="CJ36" s="41">
        <f>VLOOKUP(SUM($CC$9:$CC$20),REF!$O$2:$P$5,2,1)*IF(AND(SUM('Personal Earnings CALC'!$CA$9:$CA$20)&gt;=24,'Personal Earnings CALC'!$E$9&gt;=7),1,0)</f>
        <v>1.1000000000000001</v>
      </c>
      <c r="CK36" s="43">
        <f t="shared" si="10"/>
        <v>3960.0000000000005</v>
      </c>
      <c r="CL36" s="45">
        <f t="shared" si="20"/>
        <v>24000</v>
      </c>
      <c r="CM36" s="44"/>
      <c r="CO36" s="32">
        <f>CO35</f>
        <v>0</v>
      </c>
      <c r="CP36" s="5">
        <f>IF($G$22=12,1,0)</f>
        <v>0</v>
      </c>
      <c r="CQ36" s="32">
        <f t="shared" si="11"/>
        <v>0</v>
      </c>
      <c r="CR36" s="32">
        <f t="shared" si="12"/>
        <v>0</v>
      </c>
      <c r="CS36" s="32">
        <f t="shared" si="13"/>
        <v>0</v>
      </c>
      <c r="CT36" s="40">
        <f t="shared" si="14"/>
        <v>7.4999999999999997E-2</v>
      </c>
      <c r="CU36" s="34">
        <f t="shared" si="15"/>
        <v>0</v>
      </c>
    </row>
    <row r="37" spans="14:99" x14ac:dyDescent="0.3">
      <c r="N37" s="10" t="s">
        <v>55</v>
      </c>
      <c r="O37" s="50">
        <f t="shared" si="0"/>
        <v>2</v>
      </c>
      <c r="P37" s="51">
        <f t="shared" si="0"/>
        <v>120000</v>
      </c>
      <c r="Q37" s="52">
        <f t="shared" si="0"/>
        <v>36000</v>
      </c>
      <c r="R37" s="52">
        <f t="shared" si="1"/>
        <v>3600</v>
      </c>
      <c r="S37" s="52">
        <f t="shared" si="2"/>
        <v>0</v>
      </c>
      <c r="T37" s="52">
        <f t="shared" si="3"/>
        <v>3960.0000000000005</v>
      </c>
      <c r="U37" s="51">
        <f t="shared" si="3"/>
        <v>24000</v>
      </c>
      <c r="V37" s="53">
        <f t="shared" si="3"/>
        <v>0</v>
      </c>
      <c r="W37" s="53">
        <f t="shared" si="4"/>
        <v>0</v>
      </c>
      <c r="X37" s="52">
        <f t="shared" si="5"/>
        <v>67560</v>
      </c>
      <c r="BZ37" s="5">
        <f>IF($E$9&gt;=10,1,0)</f>
        <v>1</v>
      </c>
      <c r="CA37" s="31">
        <f t="shared" si="18"/>
        <v>2</v>
      </c>
      <c r="CB37" s="32">
        <f t="shared" si="6"/>
        <v>120000</v>
      </c>
      <c r="CC37" s="33">
        <f t="shared" si="7"/>
        <v>36000</v>
      </c>
      <c r="CD37" s="31">
        <f t="shared" si="16"/>
        <v>6</v>
      </c>
      <c r="CE37" s="34">
        <f t="shared" si="17"/>
        <v>108000</v>
      </c>
      <c r="CF37" s="41">
        <f>VLOOKUP(CE37,REF!$B$24:$C$30,2,1)</f>
        <v>0.1</v>
      </c>
      <c r="CG37" s="33">
        <f t="shared" si="19"/>
        <v>3600</v>
      </c>
      <c r="CH37" s="41">
        <f>VLOOKUP(CD37,REF!$M$16:$N$18,2,1)</f>
        <v>0</v>
      </c>
      <c r="CI37" s="43">
        <f t="shared" si="9"/>
        <v>0</v>
      </c>
      <c r="CJ37" s="41">
        <f>VLOOKUP(SUM($CC$9:$CC$20),REF!$O$2:$P$5,2,1)*IF(AND(SUM('Personal Earnings CALC'!$CA$9:$CA$20)&gt;=24,'Personal Earnings CALC'!$E$9&gt;=7),1,0)</f>
        <v>1.1000000000000001</v>
      </c>
      <c r="CK37" s="43">
        <f t="shared" si="10"/>
        <v>3960.0000000000005</v>
      </c>
      <c r="CL37" s="45">
        <f t="shared" si="20"/>
        <v>24000</v>
      </c>
      <c r="CM37" s="44"/>
      <c r="CO37" s="32">
        <f>CO36</f>
        <v>0</v>
      </c>
      <c r="CP37" s="5">
        <f>IF($G$22&gt;=10,1,0)</f>
        <v>0</v>
      </c>
      <c r="CQ37" s="32">
        <f t="shared" si="11"/>
        <v>0</v>
      </c>
      <c r="CR37" s="32">
        <f t="shared" si="12"/>
        <v>0</v>
      </c>
      <c r="CS37" s="32">
        <f t="shared" si="13"/>
        <v>0</v>
      </c>
      <c r="CT37" s="40">
        <f t="shared" si="14"/>
        <v>7.4999999999999997E-2</v>
      </c>
      <c r="CU37" s="34">
        <f t="shared" si="15"/>
        <v>0</v>
      </c>
    </row>
    <row r="38" spans="14:99" x14ac:dyDescent="0.3">
      <c r="N38" s="10" t="s">
        <v>56</v>
      </c>
      <c r="O38" s="50">
        <f t="shared" si="0"/>
        <v>2</v>
      </c>
      <c r="P38" s="51">
        <f t="shared" si="0"/>
        <v>120000</v>
      </c>
      <c r="Q38" s="52">
        <f t="shared" si="0"/>
        <v>36000</v>
      </c>
      <c r="R38" s="52">
        <f t="shared" si="1"/>
        <v>3600</v>
      </c>
      <c r="S38" s="52">
        <f t="shared" si="2"/>
        <v>0</v>
      </c>
      <c r="T38" s="52">
        <f t="shared" si="3"/>
        <v>3960.0000000000005</v>
      </c>
      <c r="U38" s="51">
        <f t="shared" si="3"/>
        <v>24000</v>
      </c>
      <c r="V38" s="53">
        <f t="shared" si="3"/>
        <v>28800</v>
      </c>
      <c r="W38" s="53">
        <f t="shared" si="4"/>
        <v>0</v>
      </c>
      <c r="X38" s="52">
        <f t="shared" si="5"/>
        <v>96360</v>
      </c>
      <c r="BZ38" s="5">
        <v>1</v>
      </c>
      <c r="CA38" s="31">
        <f t="shared" si="18"/>
        <v>2</v>
      </c>
      <c r="CB38" s="32">
        <f t="shared" si="6"/>
        <v>120000</v>
      </c>
      <c r="CC38" s="33">
        <f t="shared" si="7"/>
        <v>36000</v>
      </c>
      <c r="CD38" s="31">
        <f t="shared" si="16"/>
        <v>6</v>
      </c>
      <c r="CE38" s="34">
        <f t="shared" si="17"/>
        <v>108000</v>
      </c>
      <c r="CF38" s="41">
        <f>VLOOKUP(CE38,REF!$B$24:$C$30,2,1)</f>
        <v>0.1</v>
      </c>
      <c r="CG38" s="33">
        <f t="shared" si="19"/>
        <v>3600</v>
      </c>
      <c r="CH38" s="41">
        <f>VLOOKUP(CD38,REF!$M$16:$N$18,2,1)</f>
        <v>0</v>
      </c>
      <c r="CI38" s="43">
        <f t="shared" si="9"/>
        <v>0</v>
      </c>
      <c r="CJ38" s="41">
        <f>VLOOKUP(SUM($CC$9:$CC$20),REF!$O$2:$P$5,2,1)*IF(AND(SUM('Personal Earnings CALC'!$CA$9:$CA$20)&gt;=24,'Personal Earnings CALC'!$E$9&gt;=7),1,0)</f>
        <v>1.1000000000000001</v>
      </c>
      <c r="CK38" s="43">
        <f t="shared" si="10"/>
        <v>3960.0000000000005</v>
      </c>
      <c r="CL38" s="45">
        <f t="shared" si="20"/>
        <v>24000</v>
      </c>
      <c r="CM38" s="43">
        <f>SUM(CL36:CL38)*0.4</f>
        <v>28800</v>
      </c>
      <c r="CO38" s="32">
        <f>CO37+G16</f>
        <v>0</v>
      </c>
      <c r="CP38" s="5">
        <v>1</v>
      </c>
      <c r="CQ38" s="32">
        <f t="shared" si="11"/>
        <v>0</v>
      </c>
      <c r="CR38" s="32">
        <f t="shared" si="12"/>
        <v>0</v>
      </c>
      <c r="CS38" s="32">
        <f t="shared" si="13"/>
        <v>0</v>
      </c>
      <c r="CT38" s="40">
        <f t="shared" si="14"/>
        <v>7.4999999999999997E-2</v>
      </c>
      <c r="CU38" s="34">
        <f t="shared" si="15"/>
        <v>0</v>
      </c>
    </row>
    <row r="39" spans="14:99" x14ac:dyDescent="0.3">
      <c r="N39" s="10" t="s">
        <v>57</v>
      </c>
      <c r="O39" s="50">
        <f t="shared" si="0"/>
        <v>2</v>
      </c>
      <c r="P39" s="51">
        <f t="shared" si="0"/>
        <v>120000</v>
      </c>
      <c r="Q39" s="52">
        <f t="shared" si="0"/>
        <v>36000</v>
      </c>
      <c r="R39" s="52">
        <f t="shared" si="1"/>
        <v>3600</v>
      </c>
      <c r="S39" s="52">
        <f t="shared" si="2"/>
        <v>0</v>
      </c>
      <c r="T39" s="52">
        <f t="shared" si="3"/>
        <v>3960.0000000000005</v>
      </c>
      <c r="U39" s="51">
        <f t="shared" si="3"/>
        <v>24000</v>
      </c>
      <c r="V39" s="53">
        <f t="shared" si="3"/>
        <v>0</v>
      </c>
      <c r="W39" s="53">
        <f t="shared" si="4"/>
        <v>0</v>
      </c>
      <c r="X39" s="52">
        <f t="shared" si="5"/>
        <v>67560</v>
      </c>
      <c r="BZ39" s="5">
        <f>IF($E$9&gt;=11,1,0)</f>
        <v>1</v>
      </c>
      <c r="CA39" s="31">
        <f t="shared" si="18"/>
        <v>2</v>
      </c>
      <c r="CB39" s="32">
        <f t="shared" si="6"/>
        <v>120000</v>
      </c>
      <c r="CC39" s="33">
        <f t="shared" si="7"/>
        <v>36000</v>
      </c>
      <c r="CD39" s="31">
        <f t="shared" si="16"/>
        <v>6</v>
      </c>
      <c r="CE39" s="34">
        <f t="shared" si="17"/>
        <v>108000</v>
      </c>
      <c r="CF39" s="41">
        <f>VLOOKUP(CE39,REF!$B$24:$C$30,2,1)</f>
        <v>0.1</v>
      </c>
      <c r="CG39" s="33">
        <f t="shared" si="19"/>
        <v>3600</v>
      </c>
      <c r="CH39" s="41">
        <f>VLOOKUP(CD39,REF!$M$16:$N$18,2,1)</f>
        <v>0</v>
      </c>
      <c r="CI39" s="43">
        <f t="shared" si="9"/>
        <v>0</v>
      </c>
      <c r="CJ39" s="41">
        <f>VLOOKUP(SUM($CC$9:$CC$20),REF!$O$2:$P$5,2,1)*IF(AND(SUM('Personal Earnings CALC'!$CA$9:$CA$20)&gt;=24,'Personal Earnings CALC'!$E$9&gt;=7),1,0)</f>
        <v>1.1000000000000001</v>
      </c>
      <c r="CK39" s="43">
        <f t="shared" si="10"/>
        <v>3960.0000000000005</v>
      </c>
      <c r="CL39" s="45">
        <f t="shared" si="20"/>
        <v>24000</v>
      </c>
      <c r="CM39" s="44"/>
      <c r="CO39" s="32">
        <f>CO38</f>
        <v>0</v>
      </c>
      <c r="CP39" s="5">
        <f>IF($G$22&gt;=11,1,0)</f>
        <v>0</v>
      </c>
      <c r="CQ39" s="32">
        <f t="shared" si="11"/>
        <v>0</v>
      </c>
      <c r="CR39" s="32">
        <f t="shared" si="12"/>
        <v>0</v>
      </c>
      <c r="CS39" s="32">
        <f t="shared" si="13"/>
        <v>0</v>
      </c>
      <c r="CT39" s="40">
        <f t="shared" si="14"/>
        <v>7.4999999999999997E-2</v>
      </c>
      <c r="CU39" s="34">
        <f t="shared" si="15"/>
        <v>0</v>
      </c>
    </row>
    <row r="40" spans="14:99" x14ac:dyDescent="0.3">
      <c r="N40" s="10" t="s">
        <v>58</v>
      </c>
      <c r="O40" s="50">
        <f t="shared" si="0"/>
        <v>2</v>
      </c>
      <c r="P40" s="51">
        <f t="shared" si="0"/>
        <v>120000</v>
      </c>
      <c r="Q40" s="52">
        <f t="shared" si="0"/>
        <v>36000</v>
      </c>
      <c r="R40" s="52">
        <f t="shared" si="1"/>
        <v>3600</v>
      </c>
      <c r="S40" s="52">
        <f t="shared" si="2"/>
        <v>0</v>
      </c>
      <c r="T40" s="52">
        <f t="shared" si="3"/>
        <v>3960.0000000000005</v>
      </c>
      <c r="U40" s="51">
        <f t="shared" si="3"/>
        <v>24000</v>
      </c>
      <c r="V40" s="53">
        <f t="shared" si="3"/>
        <v>0</v>
      </c>
      <c r="W40" s="53">
        <f t="shared" si="4"/>
        <v>0</v>
      </c>
      <c r="X40" s="52">
        <f t="shared" si="5"/>
        <v>67560</v>
      </c>
      <c r="BZ40" s="5">
        <f>IF($E$9&gt;=9,1,0)</f>
        <v>1</v>
      </c>
      <c r="CA40" s="31">
        <f t="shared" si="18"/>
        <v>2</v>
      </c>
      <c r="CB40" s="32">
        <f t="shared" si="6"/>
        <v>120000</v>
      </c>
      <c r="CC40" s="33">
        <f t="shared" si="7"/>
        <v>36000</v>
      </c>
      <c r="CD40" s="31">
        <f t="shared" si="16"/>
        <v>6</v>
      </c>
      <c r="CE40" s="34">
        <f t="shared" si="17"/>
        <v>108000</v>
      </c>
      <c r="CF40" s="41">
        <f>VLOOKUP(CE40,REF!$B$24:$C$30,2,1)</f>
        <v>0.1</v>
      </c>
      <c r="CG40" s="33">
        <f t="shared" si="19"/>
        <v>3600</v>
      </c>
      <c r="CH40" s="41">
        <f>VLOOKUP(CD40,REF!$M$16:$N$18,2,1)</f>
        <v>0</v>
      </c>
      <c r="CI40" s="43">
        <f t="shared" si="9"/>
        <v>0</v>
      </c>
      <c r="CJ40" s="41">
        <f>VLOOKUP(SUM($CC$9:$CC$20),REF!$O$2:$P$5,2,1)*IF(AND(SUM('Personal Earnings CALC'!$CA$9:$CA$20)&gt;=24,'Personal Earnings CALC'!$E$9&gt;=7),1,0)</f>
        <v>1.1000000000000001</v>
      </c>
      <c r="CK40" s="43">
        <f t="shared" si="10"/>
        <v>3960.0000000000005</v>
      </c>
      <c r="CL40" s="45">
        <f t="shared" si="20"/>
        <v>24000</v>
      </c>
      <c r="CM40" s="44"/>
      <c r="CO40" s="32">
        <f>CO39</f>
        <v>0</v>
      </c>
      <c r="CP40" s="5">
        <f>IF($G$22&gt;=9,1,0)</f>
        <v>0</v>
      </c>
      <c r="CQ40" s="32">
        <f t="shared" si="11"/>
        <v>0</v>
      </c>
      <c r="CR40" s="32">
        <f t="shared" si="12"/>
        <v>0</v>
      </c>
      <c r="CS40" s="32">
        <f t="shared" si="13"/>
        <v>0</v>
      </c>
      <c r="CT40" s="40">
        <f t="shared" si="14"/>
        <v>7.4999999999999997E-2</v>
      </c>
      <c r="CU40" s="34">
        <f t="shared" si="15"/>
        <v>0</v>
      </c>
    </row>
    <row r="41" spans="14:99" x14ac:dyDescent="0.3">
      <c r="N41" s="10" t="s">
        <v>59</v>
      </c>
      <c r="O41" s="50">
        <f t="shared" si="0"/>
        <v>2</v>
      </c>
      <c r="P41" s="51">
        <f t="shared" si="0"/>
        <v>120000</v>
      </c>
      <c r="Q41" s="52">
        <f t="shared" si="0"/>
        <v>36000</v>
      </c>
      <c r="R41" s="52">
        <f t="shared" si="1"/>
        <v>3600</v>
      </c>
      <c r="S41" s="52">
        <f t="shared" si="2"/>
        <v>0</v>
      </c>
      <c r="T41" s="52">
        <f t="shared" si="3"/>
        <v>3960.0000000000005</v>
      </c>
      <c r="U41" s="51">
        <f t="shared" si="3"/>
        <v>24000</v>
      </c>
      <c r="V41" s="53">
        <f t="shared" si="3"/>
        <v>28800</v>
      </c>
      <c r="W41" s="53">
        <f t="shared" si="4"/>
        <v>0</v>
      </c>
      <c r="X41" s="52">
        <f t="shared" si="5"/>
        <v>96360</v>
      </c>
      <c r="BZ41" s="5">
        <v>1</v>
      </c>
      <c r="CA41" s="31">
        <f t="shared" si="18"/>
        <v>2</v>
      </c>
      <c r="CB41" s="32">
        <f t="shared" si="6"/>
        <v>120000</v>
      </c>
      <c r="CC41" s="33">
        <f t="shared" si="7"/>
        <v>36000</v>
      </c>
      <c r="CD41" s="31">
        <f t="shared" si="16"/>
        <v>6</v>
      </c>
      <c r="CE41" s="34">
        <f t="shared" si="17"/>
        <v>108000</v>
      </c>
      <c r="CF41" s="41">
        <f>VLOOKUP(CE41,REF!$B$24:$C$30,2,1)</f>
        <v>0.1</v>
      </c>
      <c r="CG41" s="33">
        <f t="shared" si="19"/>
        <v>3600</v>
      </c>
      <c r="CH41" s="41">
        <f>VLOOKUP(CD41,REF!$M$16:$N$18,2,1)</f>
        <v>0</v>
      </c>
      <c r="CI41" s="43">
        <f t="shared" si="9"/>
        <v>0</v>
      </c>
      <c r="CJ41" s="41">
        <f>VLOOKUP(SUM($CC$9:$CC$20),REF!$O$2:$P$5,2,1)*IF(AND(SUM('Personal Earnings CALC'!$CA$9:$CA$20)&gt;=24,'Personal Earnings CALC'!$E$9&gt;=7),1,0)</f>
        <v>1.1000000000000001</v>
      </c>
      <c r="CK41" s="43">
        <f t="shared" si="10"/>
        <v>3960.0000000000005</v>
      </c>
      <c r="CL41" s="45">
        <f t="shared" si="20"/>
        <v>24000</v>
      </c>
      <c r="CM41" s="43">
        <f>SUM(CL39:CL41)*0.4</f>
        <v>28800</v>
      </c>
      <c r="CO41" s="32">
        <f>CO40+G17</f>
        <v>0</v>
      </c>
      <c r="CP41" s="5">
        <v>1</v>
      </c>
      <c r="CQ41" s="32">
        <f t="shared" si="11"/>
        <v>0</v>
      </c>
      <c r="CR41" s="32">
        <f t="shared" si="12"/>
        <v>0</v>
      </c>
      <c r="CS41" s="32">
        <f t="shared" si="13"/>
        <v>0</v>
      </c>
      <c r="CT41" s="40">
        <f t="shared" si="14"/>
        <v>7.4999999999999997E-2</v>
      </c>
      <c r="CU41" s="34">
        <f t="shared" si="15"/>
        <v>0</v>
      </c>
    </row>
    <row r="42" spans="14:99" x14ac:dyDescent="0.3">
      <c r="N42" s="10" t="s">
        <v>60</v>
      </c>
      <c r="O42" s="50">
        <f t="shared" si="0"/>
        <v>2</v>
      </c>
      <c r="P42" s="51">
        <f t="shared" si="0"/>
        <v>120000</v>
      </c>
      <c r="Q42" s="52">
        <f t="shared" si="0"/>
        <v>36000</v>
      </c>
      <c r="R42" s="52">
        <f t="shared" si="1"/>
        <v>3600</v>
      </c>
      <c r="S42" s="52">
        <f t="shared" si="2"/>
        <v>0</v>
      </c>
      <c r="T42" s="52">
        <f t="shared" si="3"/>
        <v>3960.0000000000005</v>
      </c>
      <c r="U42" s="51">
        <f t="shared" si="3"/>
        <v>24000</v>
      </c>
      <c r="V42" s="53">
        <f t="shared" si="3"/>
        <v>0</v>
      </c>
      <c r="W42" s="53">
        <f t="shared" si="4"/>
        <v>0</v>
      </c>
      <c r="X42" s="52">
        <f t="shared" si="5"/>
        <v>67560</v>
      </c>
      <c r="BZ42" s="5">
        <f>IF($E$9&gt;=8,1,0)</f>
        <v>1</v>
      </c>
      <c r="CA42" s="31">
        <f t="shared" si="18"/>
        <v>2</v>
      </c>
      <c r="CB42" s="32">
        <f t="shared" si="6"/>
        <v>120000</v>
      </c>
      <c r="CC42" s="33">
        <f t="shared" si="7"/>
        <v>36000</v>
      </c>
      <c r="CD42" s="31">
        <f t="shared" si="16"/>
        <v>6</v>
      </c>
      <c r="CE42" s="34">
        <f t="shared" si="17"/>
        <v>108000</v>
      </c>
      <c r="CF42" s="41">
        <f>VLOOKUP(CE42,REF!$B$24:$C$30,2,1)</f>
        <v>0.1</v>
      </c>
      <c r="CG42" s="33">
        <f t="shared" si="19"/>
        <v>3600</v>
      </c>
      <c r="CH42" s="41">
        <f>VLOOKUP(CD42,REF!$M$16:$N$18,2,1)</f>
        <v>0</v>
      </c>
      <c r="CI42" s="43">
        <f t="shared" si="9"/>
        <v>0</v>
      </c>
      <c r="CJ42" s="41">
        <f>VLOOKUP(SUM($CC$9:$CC$20),REF!$O$2:$P$5,2,1)*IF(AND(SUM('Personal Earnings CALC'!$CA$9:$CA$20)&gt;=24,'Personal Earnings CALC'!$E$9&gt;=7),1,0)</f>
        <v>1.1000000000000001</v>
      </c>
      <c r="CK42" s="43">
        <f t="shared" si="10"/>
        <v>3960.0000000000005</v>
      </c>
      <c r="CL42" s="45">
        <f t="shared" si="20"/>
        <v>24000</v>
      </c>
      <c r="CM42" s="44"/>
      <c r="CO42" s="32">
        <f>CO41</f>
        <v>0</v>
      </c>
      <c r="CP42" s="5">
        <f>IF($G$22&gt;=8,1,0)</f>
        <v>0</v>
      </c>
      <c r="CQ42" s="32">
        <f t="shared" si="11"/>
        <v>0</v>
      </c>
      <c r="CR42" s="32">
        <f t="shared" si="12"/>
        <v>0</v>
      </c>
      <c r="CS42" s="32">
        <f t="shared" si="13"/>
        <v>0</v>
      </c>
      <c r="CT42" s="40">
        <f t="shared" si="14"/>
        <v>7.4999999999999997E-2</v>
      </c>
      <c r="CU42" s="34">
        <f t="shared" si="15"/>
        <v>0</v>
      </c>
    </row>
    <row r="43" spans="14:99" x14ac:dyDescent="0.3">
      <c r="N43" s="10" t="s">
        <v>61</v>
      </c>
      <c r="O43" s="50">
        <f t="shared" si="0"/>
        <v>2</v>
      </c>
      <c r="P43" s="51">
        <f t="shared" si="0"/>
        <v>120000</v>
      </c>
      <c r="Q43" s="52">
        <f t="shared" si="0"/>
        <v>36000</v>
      </c>
      <c r="R43" s="52">
        <f t="shared" si="1"/>
        <v>3600</v>
      </c>
      <c r="S43" s="52">
        <f t="shared" si="2"/>
        <v>0</v>
      </c>
      <c r="T43" s="52">
        <f t="shared" si="3"/>
        <v>3960.0000000000005</v>
      </c>
      <c r="U43" s="51">
        <f t="shared" si="3"/>
        <v>24000</v>
      </c>
      <c r="V43" s="53">
        <f t="shared" si="3"/>
        <v>0</v>
      </c>
      <c r="W43" s="53">
        <f t="shared" si="4"/>
        <v>0</v>
      </c>
      <c r="X43" s="52">
        <f t="shared" si="5"/>
        <v>67560</v>
      </c>
      <c r="BZ43" s="5">
        <f>IF($E$9&gt;=7,1,0)</f>
        <v>1</v>
      </c>
      <c r="CA43" s="31">
        <f t="shared" si="18"/>
        <v>2</v>
      </c>
      <c r="CB43" s="32">
        <f t="shared" si="6"/>
        <v>120000</v>
      </c>
      <c r="CC43" s="33">
        <f t="shared" si="7"/>
        <v>36000</v>
      </c>
      <c r="CD43" s="31">
        <f t="shared" si="16"/>
        <v>6</v>
      </c>
      <c r="CE43" s="34">
        <f t="shared" si="17"/>
        <v>108000</v>
      </c>
      <c r="CF43" s="41">
        <f>VLOOKUP(CE43,REF!$B$24:$C$30,2,1)</f>
        <v>0.1</v>
      </c>
      <c r="CG43" s="33">
        <f t="shared" si="19"/>
        <v>3600</v>
      </c>
      <c r="CH43" s="41">
        <f>VLOOKUP(CD43,REF!$M$16:$N$18,2,1)</f>
        <v>0</v>
      </c>
      <c r="CI43" s="43">
        <f t="shared" si="9"/>
        <v>0</v>
      </c>
      <c r="CJ43" s="41">
        <f>VLOOKUP(SUM($CC$9:$CC$20),REF!$O$2:$P$5,2,1)*IF(AND(SUM('Personal Earnings CALC'!$CA$9:$CA$20)&gt;=24,'Personal Earnings CALC'!$E$9&gt;=7),1,0)</f>
        <v>1.1000000000000001</v>
      </c>
      <c r="CK43" s="43">
        <f t="shared" si="10"/>
        <v>3960.0000000000005</v>
      </c>
      <c r="CL43" s="45">
        <f t="shared" si="20"/>
        <v>24000</v>
      </c>
      <c r="CM43" s="44"/>
      <c r="CO43" s="32">
        <f>CO42</f>
        <v>0</v>
      </c>
      <c r="CP43" s="5">
        <f>IF($G$22&gt;=7,1,0)</f>
        <v>0</v>
      </c>
      <c r="CQ43" s="32">
        <f t="shared" si="11"/>
        <v>0</v>
      </c>
      <c r="CR43" s="32">
        <f t="shared" si="12"/>
        <v>0</v>
      </c>
      <c r="CS43" s="32">
        <f t="shared" si="13"/>
        <v>0</v>
      </c>
      <c r="CT43" s="40">
        <f t="shared" si="14"/>
        <v>7.4999999999999997E-2</v>
      </c>
      <c r="CU43" s="34">
        <f t="shared" si="15"/>
        <v>0</v>
      </c>
    </row>
    <row r="44" spans="14:99" x14ac:dyDescent="0.3">
      <c r="N44" s="10" t="s">
        <v>62</v>
      </c>
      <c r="O44" s="50">
        <f t="shared" si="0"/>
        <v>2</v>
      </c>
      <c r="P44" s="51">
        <f t="shared" si="0"/>
        <v>120000</v>
      </c>
      <c r="Q44" s="52">
        <f t="shared" si="0"/>
        <v>36000</v>
      </c>
      <c r="R44" s="52">
        <f t="shared" si="1"/>
        <v>3600</v>
      </c>
      <c r="S44" s="52">
        <f t="shared" si="2"/>
        <v>0</v>
      </c>
      <c r="T44" s="52">
        <f t="shared" si="3"/>
        <v>3960.0000000000005</v>
      </c>
      <c r="U44" s="51">
        <f t="shared" si="3"/>
        <v>24000</v>
      </c>
      <c r="V44" s="53">
        <f t="shared" si="3"/>
        <v>28800</v>
      </c>
      <c r="W44" s="53">
        <f t="shared" si="4"/>
        <v>0</v>
      </c>
      <c r="X44" s="52">
        <f t="shared" si="5"/>
        <v>96360</v>
      </c>
      <c r="BZ44" s="5">
        <v>1</v>
      </c>
      <c r="CA44" s="31">
        <f t="shared" si="18"/>
        <v>2</v>
      </c>
      <c r="CB44" s="32">
        <f t="shared" si="6"/>
        <v>120000</v>
      </c>
      <c r="CC44" s="33">
        <f t="shared" si="7"/>
        <v>36000</v>
      </c>
      <c r="CD44" s="31">
        <f t="shared" si="16"/>
        <v>6</v>
      </c>
      <c r="CE44" s="34">
        <f t="shared" si="17"/>
        <v>108000</v>
      </c>
      <c r="CF44" s="41">
        <f>VLOOKUP(CE44,REF!$B$24:$C$30,2,1)</f>
        <v>0.1</v>
      </c>
      <c r="CG44" s="33">
        <f t="shared" si="19"/>
        <v>3600</v>
      </c>
      <c r="CH44" s="41">
        <f>VLOOKUP(CD44,REF!$M$16:$N$18,2,1)</f>
        <v>0</v>
      </c>
      <c r="CI44" s="43">
        <f t="shared" si="9"/>
        <v>0</v>
      </c>
      <c r="CJ44" s="41">
        <f>VLOOKUP(SUM($CC$9:$CC$20),REF!$O$2:$P$5,2,1)*IF(AND(SUM('Personal Earnings CALC'!$CA$9:$CA$20)&gt;=24,'Personal Earnings CALC'!$E$9&gt;=7),1,0)</f>
        <v>1.1000000000000001</v>
      </c>
      <c r="CK44" s="43">
        <f t="shared" si="10"/>
        <v>3960.0000000000005</v>
      </c>
      <c r="CL44" s="45">
        <f t="shared" si="20"/>
        <v>24000</v>
      </c>
      <c r="CM44" s="43">
        <f>SUM(CL42:CL44)*0.4</f>
        <v>28800</v>
      </c>
      <c r="CO44" s="32">
        <f>CO43+G18</f>
        <v>0</v>
      </c>
      <c r="CP44" s="5">
        <v>1</v>
      </c>
      <c r="CQ44" s="32">
        <f t="shared" si="11"/>
        <v>0</v>
      </c>
      <c r="CR44" s="32">
        <f t="shared" si="12"/>
        <v>0</v>
      </c>
      <c r="CS44" s="32">
        <f t="shared" si="13"/>
        <v>0</v>
      </c>
      <c r="CT44" s="40">
        <f t="shared" si="14"/>
        <v>7.4999999999999997E-2</v>
      </c>
      <c r="CU44" s="34">
        <f t="shared" si="15"/>
        <v>0</v>
      </c>
    </row>
    <row r="45" spans="14:99" x14ac:dyDescent="0.3">
      <c r="N45" s="10" t="s">
        <v>73</v>
      </c>
      <c r="O45" s="50">
        <f t="shared" ref="O45:X45" si="21">SUM(O9:O44)</f>
        <v>72</v>
      </c>
      <c r="P45" s="51">
        <f t="shared" si="21"/>
        <v>4320000</v>
      </c>
      <c r="Q45" s="51">
        <f t="shared" si="21"/>
        <v>1296000</v>
      </c>
      <c r="R45" s="51">
        <f t="shared" si="21"/>
        <v>108000</v>
      </c>
      <c r="S45" s="51">
        <f t="shared" si="21"/>
        <v>0</v>
      </c>
      <c r="T45" s="51">
        <f t="shared" si="21"/>
        <v>95040.000000000015</v>
      </c>
      <c r="U45" s="51">
        <f t="shared" si="21"/>
        <v>576000</v>
      </c>
      <c r="V45" s="51">
        <f t="shared" si="21"/>
        <v>230400</v>
      </c>
      <c r="W45" s="51">
        <f t="shared" si="21"/>
        <v>0</v>
      </c>
      <c r="X45" s="52">
        <f t="shared" si="21"/>
        <v>2305440</v>
      </c>
    </row>
  </sheetData>
  <dataValidations count="2">
    <dataValidation type="whole" allowBlank="1" showInputMessage="1" showErrorMessage="1" errorTitle="Incorrect Input" error="Please re-enter values from 4 to 12." sqref="E9" xr:uid="{00000000-0002-0000-0200-000000000000}">
      <formula1>4</formula1>
      <formula2>12</formula2>
    </dataValidation>
    <dataValidation type="list" allowBlank="1" showInputMessage="1" showErrorMessage="1" sqref="B11" xr:uid="{00000000-0002-0000-0200-000001000000}">
      <formula1>"Y, N"</formula1>
    </dataValidation>
  </dataValidations>
  <pageMargins left="0.7" right="0.7" top="0.75" bottom="0.75" header="0.3" footer="0.3"/>
  <pageSetup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V30"/>
  <sheetViews>
    <sheetView topLeftCell="A14" workbookViewId="0">
      <selection activeCell="H26" sqref="H26"/>
    </sheetView>
  </sheetViews>
  <sheetFormatPr defaultRowHeight="14.4" x14ac:dyDescent="0.3"/>
  <cols>
    <col min="2" max="5" width="15.6640625" customWidth="1"/>
    <col min="7" max="7" width="16.5546875" bestFit="1" customWidth="1"/>
    <col min="10" max="10" width="15.88671875" bestFit="1" customWidth="1"/>
    <col min="13" max="13" width="15.88671875" customWidth="1"/>
    <col min="14" max="14" width="21.109375" customWidth="1"/>
    <col min="15" max="15" width="13.33203125" bestFit="1" customWidth="1"/>
    <col min="17" max="17" width="3.33203125" customWidth="1"/>
    <col min="18" max="18" width="11.5546875" bestFit="1" customWidth="1"/>
    <col min="21" max="21" width="11.5546875" bestFit="1" customWidth="1"/>
    <col min="22" max="22" width="14.33203125" bestFit="1" customWidth="1"/>
  </cols>
  <sheetData>
    <row r="1" spans="1:22" x14ac:dyDescent="0.3">
      <c r="A1" s="1" t="s">
        <v>75</v>
      </c>
      <c r="B1" s="103" t="s">
        <v>76</v>
      </c>
      <c r="C1" s="103"/>
      <c r="D1" s="103"/>
      <c r="E1" s="103"/>
    </row>
    <row r="2" spans="1:22" ht="15" thickBot="1" x14ac:dyDescent="0.35">
      <c r="B2" s="35">
        <v>0</v>
      </c>
      <c r="C2" s="36">
        <v>6</v>
      </c>
      <c r="D2" s="36">
        <v>8</v>
      </c>
      <c r="E2" s="36">
        <v>10</v>
      </c>
      <c r="G2" t="s">
        <v>108</v>
      </c>
      <c r="J2" t="s">
        <v>109</v>
      </c>
      <c r="L2" s="11"/>
      <c r="O2" s="32">
        <v>0</v>
      </c>
      <c r="P2">
        <v>1</v>
      </c>
      <c r="R2" t="s">
        <v>107</v>
      </c>
      <c r="U2" t="s">
        <v>69</v>
      </c>
      <c r="V2" s="16">
        <v>0.32</v>
      </c>
    </row>
    <row r="3" spans="1:22" ht="15" thickBot="1" x14ac:dyDescent="0.35">
      <c r="B3" s="35">
        <v>0</v>
      </c>
      <c r="C3" s="37">
        <v>0</v>
      </c>
      <c r="D3" s="38">
        <v>0</v>
      </c>
      <c r="E3" s="37">
        <v>0</v>
      </c>
      <c r="G3" s="87" t="s">
        <v>93</v>
      </c>
      <c r="H3" s="87" t="s">
        <v>192</v>
      </c>
      <c r="J3" s="87" t="s">
        <v>93</v>
      </c>
      <c r="K3" s="87" t="s">
        <v>192</v>
      </c>
      <c r="L3" s="11"/>
      <c r="O3" s="32">
        <v>240000</v>
      </c>
      <c r="P3">
        <v>1.1000000000000001</v>
      </c>
    </row>
    <row r="4" spans="1:22" ht="15" thickBot="1" x14ac:dyDescent="0.35">
      <c r="B4" s="39">
        <v>45000</v>
      </c>
      <c r="C4" s="37">
        <v>2.5000000000000001E-2</v>
      </c>
      <c r="D4" s="38">
        <v>0.03</v>
      </c>
      <c r="E4" s="37">
        <v>3.5000000000000003E-2</v>
      </c>
      <c r="G4" s="88">
        <v>-100000000</v>
      </c>
      <c r="H4" s="89">
        <v>0</v>
      </c>
      <c r="J4" s="88">
        <v>-100000000</v>
      </c>
      <c r="K4" s="89">
        <v>0</v>
      </c>
      <c r="L4" s="11"/>
      <c r="O4" s="32">
        <v>700000</v>
      </c>
      <c r="P4">
        <v>1.2</v>
      </c>
      <c r="R4" t="s">
        <v>108</v>
      </c>
      <c r="S4" s="16">
        <v>0.3</v>
      </c>
      <c r="U4" t="s">
        <v>110</v>
      </c>
    </row>
    <row r="5" spans="1:22" ht="15" thickBot="1" x14ac:dyDescent="0.35">
      <c r="B5" s="39">
        <v>60000</v>
      </c>
      <c r="C5" s="38">
        <v>0.04</v>
      </c>
      <c r="D5" s="38">
        <v>0.06</v>
      </c>
      <c r="E5" s="38">
        <v>0.08</v>
      </c>
      <c r="G5" s="88">
        <v>200000</v>
      </c>
      <c r="H5" s="89">
        <v>0.05</v>
      </c>
      <c r="J5" s="88">
        <v>200000</v>
      </c>
      <c r="K5" s="89">
        <v>0.1</v>
      </c>
      <c r="L5" s="11"/>
      <c r="O5" s="32">
        <v>2000000</v>
      </c>
      <c r="P5">
        <v>1.3</v>
      </c>
      <c r="R5" t="s">
        <v>109</v>
      </c>
    </row>
    <row r="6" spans="1:22" ht="15" thickBot="1" x14ac:dyDescent="0.35">
      <c r="B6" s="39">
        <v>90000</v>
      </c>
      <c r="C6" s="38">
        <v>0.05</v>
      </c>
      <c r="D6" s="37">
        <v>7.4999999999999997E-2</v>
      </c>
      <c r="E6" s="38">
        <v>0.1</v>
      </c>
      <c r="G6" s="88">
        <v>350000</v>
      </c>
      <c r="H6" s="89">
        <v>7.0000000000000007E-2</v>
      </c>
      <c r="J6" s="88">
        <v>350000</v>
      </c>
      <c r="K6" s="89">
        <v>0.12000000000000001</v>
      </c>
      <c r="L6" s="11"/>
      <c r="N6" s="14"/>
      <c r="R6" s="32">
        <v>0</v>
      </c>
      <c r="S6" s="56">
        <v>0.3</v>
      </c>
      <c r="U6" t="s">
        <v>111</v>
      </c>
      <c r="V6" s="32">
        <v>0</v>
      </c>
    </row>
    <row r="7" spans="1:22" ht="15" thickBot="1" x14ac:dyDescent="0.35">
      <c r="B7" s="39">
        <v>150000</v>
      </c>
      <c r="C7" s="38">
        <v>0.06</v>
      </c>
      <c r="D7" s="38">
        <v>0.09</v>
      </c>
      <c r="E7" s="38">
        <v>0.12</v>
      </c>
      <c r="G7" s="88">
        <v>500000</v>
      </c>
      <c r="H7" s="89">
        <v>0.1</v>
      </c>
      <c r="J7" s="88">
        <v>500000</v>
      </c>
      <c r="K7" s="89">
        <v>0.15000000000000002</v>
      </c>
      <c r="L7" s="11"/>
      <c r="R7" s="32">
        <v>30000</v>
      </c>
      <c r="S7" s="56">
        <v>0.35</v>
      </c>
      <c r="U7" t="s">
        <v>112</v>
      </c>
      <c r="V7" s="32">
        <v>6000000</v>
      </c>
    </row>
    <row r="8" spans="1:22" ht="15" thickBot="1" x14ac:dyDescent="0.35">
      <c r="B8" s="39">
        <v>210000</v>
      </c>
      <c r="C8" s="38">
        <v>7.0000000000000007E-2</v>
      </c>
      <c r="D8" s="37">
        <v>0.105</v>
      </c>
      <c r="E8" s="38">
        <v>0.14000000000000001</v>
      </c>
      <c r="G8" s="88">
        <v>1000000</v>
      </c>
      <c r="H8" s="89">
        <v>0.15</v>
      </c>
      <c r="J8" s="88">
        <v>1000000</v>
      </c>
      <c r="K8" s="89">
        <v>0.2</v>
      </c>
      <c r="L8" s="11"/>
      <c r="R8" s="32">
        <v>60000</v>
      </c>
      <c r="S8" s="56">
        <v>0.4</v>
      </c>
      <c r="U8" t="s">
        <v>113</v>
      </c>
      <c r="V8" s="32">
        <v>12000000</v>
      </c>
    </row>
    <row r="9" spans="1:22" ht="15" thickBot="1" x14ac:dyDescent="0.35">
      <c r="B9" s="39">
        <v>270000</v>
      </c>
      <c r="C9" s="38">
        <v>0.08</v>
      </c>
      <c r="D9" s="38">
        <v>0.12</v>
      </c>
      <c r="E9" s="38">
        <v>0.16</v>
      </c>
      <c r="G9" s="88">
        <v>1500000</v>
      </c>
      <c r="H9" s="89">
        <v>0.2</v>
      </c>
      <c r="J9" s="88">
        <v>1500000</v>
      </c>
      <c r="K9" s="89">
        <v>0.25</v>
      </c>
      <c r="R9" s="32">
        <v>100000</v>
      </c>
      <c r="S9" s="56">
        <v>0.42499999999999999</v>
      </c>
    </row>
    <row r="10" spans="1:22" ht="15" thickBot="1" x14ac:dyDescent="0.35">
      <c r="B10" s="39">
        <v>360000</v>
      </c>
      <c r="C10" s="38">
        <v>0.09</v>
      </c>
      <c r="D10" s="37">
        <v>0.13500000000000001</v>
      </c>
      <c r="E10" s="38">
        <v>0.18</v>
      </c>
      <c r="G10" s="88">
        <v>2000000</v>
      </c>
      <c r="H10" s="89">
        <v>0.25</v>
      </c>
      <c r="J10" s="88">
        <v>2000000</v>
      </c>
      <c r="K10" s="89">
        <v>0.3</v>
      </c>
      <c r="O10" s="16"/>
      <c r="R10" s="32">
        <v>240000</v>
      </c>
      <c r="S10" s="56">
        <v>0.45</v>
      </c>
      <c r="U10" s="32">
        <v>0</v>
      </c>
      <c r="V10" s="16">
        <v>0.3</v>
      </c>
    </row>
    <row r="11" spans="1:22" ht="21" x14ac:dyDescent="0.3">
      <c r="B11" s="17"/>
      <c r="C11" s="18"/>
      <c r="D11" s="19"/>
      <c r="E11" s="18"/>
      <c r="O11" s="16"/>
      <c r="U11" s="32">
        <v>6000000</v>
      </c>
      <c r="V11" s="16">
        <v>0.25</v>
      </c>
    </row>
    <row r="12" spans="1:22" ht="21" x14ac:dyDescent="0.3">
      <c r="B12" s="17"/>
      <c r="C12" s="18"/>
      <c r="D12" s="19"/>
      <c r="E12" s="18"/>
      <c r="O12" s="16"/>
      <c r="U12" s="32">
        <v>12000000</v>
      </c>
      <c r="V12" s="16">
        <v>0.2</v>
      </c>
    </row>
    <row r="13" spans="1:22" x14ac:dyDescent="0.3">
      <c r="C13" s="103" t="s">
        <v>77</v>
      </c>
      <c r="D13" s="103"/>
      <c r="E13" s="103"/>
      <c r="O13" s="16"/>
    </row>
    <row r="14" spans="1:22" x14ac:dyDescent="0.3">
      <c r="B14" s="20" t="s">
        <v>78</v>
      </c>
      <c r="C14" s="21">
        <v>0.8</v>
      </c>
      <c r="D14" s="21">
        <v>0.85</v>
      </c>
      <c r="E14" s="21">
        <v>0.9</v>
      </c>
      <c r="U14" t="s">
        <v>114</v>
      </c>
    </row>
    <row r="15" spans="1:22" ht="21" x14ac:dyDescent="0.3">
      <c r="B15" s="22">
        <v>0</v>
      </c>
      <c r="C15" s="23">
        <v>0</v>
      </c>
      <c r="D15" s="23">
        <v>0</v>
      </c>
      <c r="E15" s="23">
        <v>0</v>
      </c>
      <c r="H15" s="104" t="s">
        <v>79</v>
      </c>
      <c r="I15" s="105"/>
      <c r="J15" s="105"/>
      <c r="K15" s="106"/>
      <c r="M15" s="107" t="s">
        <v>80</v>
      </c>
      <c r="N15" s="108"/>
      <c r="U15">
        <v>0</v>
      </c>
      <c r="V15" s="16">
        <v>0</v>
      </c>
    </row>
    <row r="16" spans="1:22" ht="21" x14ac:dyDescent="0.3">
      <c r="B16" s="15">
        <v>60000</v>
      </c>
      <c r="C16" s="13">
        <v>0.04</v>
      </c>
      <c r="D16" s="13">
        <v>0.06</v>
      </c>
      <c r="E16" s="13">
        <v>0.08</v>
      </c>
      <c r="H16" s="24" t="s">
        <v>81</v>
      </c>
      <c r="I16" s="24" t="s">
        <v>82</v>
      </c>
      <c r="J16" s="109" t="s">
        <v>83</v>
      </c>
      <c r="K16" s="109" t="s">
        <v>84</v>
      </c>
      <c r="M16" s="25">
        <v>0</v>
      </c>
      <c r="N16" s="42">
        <v>0</v>
      </c>
      <c r="U16">
        <v>5</v>
      </c>
      <c r="V16" s="16">
        <v>0.03</v>
      </c>
    </row>
    <row r="17" spans="2:22" ht="26.4" x14ac:dyDescent="0.3">
      <c r="B17" s="15">
        <v>90000</v>
      </c>
      <c r="C17" s="13">
        <v>0.05</v>
      </c>
      <c r="D17" s="12">
        <v>7.4999999999999997E-2</v>
      </c>
      <c r="E17" s="13">
        <v>0.1</v>
      </c>
      <c r="H17" s="26" t="s">
        <v>85</v>
      </c>
      <c r="I17" s="26" t="s">
        <v>86</v>
      </c>
      <c r="J17" s="110"/>
      <c r="K17" s="110"/>
      <c r="M17" s="27">
        <v>9</v>
      </c>
      <c r="N17" s="28">
        <v>0.1</v>
      </c>
      <c r="U17">
        <v>7</v>
      </c>
      <c r="V17" s="16">
        <v>0.04</v>
      </c>
    </row>
    <row r="18" spans="2:22" ht="26.4" x14ac:dyDescent="0.3">
      <c r="B18" s="15">
        <v>150000</v>
      </c>
      <c r="C18" s="13">
        <v>0.06</v>
      </c>
      <c r="D18" s="13">
        <v>0.09</v>
      </c>
      <c r="E18" s="13">
        <v>0.12</v>
      </c>
      <c r="H18" s="29" t="s">
        <v>87</v>
      </c>
      <c r="I18" s="30">
        <v>1.1000000000000001</v>
      </c>
      <c r="J18" s="30">
        <v>1.2</v>
      </c>
      <c r="K18" s="30">
        <v>1.3</v>
      </c>
      <c r="M18" s="27">
        <v>12</v>
      </c>
      <c r="N18" s="28">
        <v>0.15</v>
      </c>
      <c r="U18">
        <v>10</v>
      </c>
      <c r="V18" s="16">
        <v>0.05</v>
      </c>
    </row>
    <row r="19" spans="2:22" ht="21" x14ac:dyDescent="0.3">
      <c r="B19" s="15">
        <v>210000</v>
      </c>
      <c r="C19" s="13">
        <v>7.0000000000000007E-2</v>
      </c>
      <c r="D19" s="12">
        <v>0.105</v>
      </c>
      <c r="E19" s="13">
        <v>0.14000000000000001</v>
      </c>
      <c r="U19">
        <v>12</v>
      </c>
      <c r="V19" s="16">
        <v>7.0000000000000007E-2</v>
      </c>
    </row>
    <row r="20" spans="2:22" ht="21" x14ac:dyDescent="0.3">
      <c r="B20" s="15">
        <v>270000</v>
      </c>
      <c r="C20" s="13">
        <v>0.08</v>
      </c>
      <c r="D20" s="13">
        <v>0.12</v>
      </c>
      <c r="E20" s="13">
        <v>0.16</v>
      </c>
    </row>
    <row r="21" spans="2:22" ht="21" x14ac:dyDescent="0.3">
      <c r="B21" s="15">
        <v>360000</v>
      </c>
      <c r="C21" s="13">
        <v>0.09</v>
      </c>
      <c r="D21" s="12">
        <v>0.13500000000000001</v>
      </c>
      <c r="E21" s="13">
        <v>0.18</v>
      </c>
    </row>
    <row r="23" spans="2:22" ht="15" thickBot="1" x14ac:dyDescent="0.35"/>
    <row r="24" spans="2:22" ht="52.8" thickBot="1" x14ac:dyDescent="0.35">
      <c r="B24" s="22">
        <v>0</v>
      </c>
      <c r="C24" s="23">
        <v>0</v>
      </c>
      <c r="G24" s="90" t="s">
        <v>194</v>
      </c>
      <c r="H24" s="90" t="s">
        <v>195</v>
      </c>
    </row>
    <row r="25" spans="2:22" ht="22.2" thickTop="1" thickBot="1" x14ac:dyDescent="0.35">
      <c r="B25" s="15">
        <v>60000</v>
      </c>
      <c r="C25" s="13">
        <v>0.08</v>
      </c>
      <c r="G25" s="91">
        <v>-100000000</v>
      </c>
      <c r="H25" s="92">
        <v>0</v>
      </c>
    </row>
    <row r="26" spans="2:22" ht="22.2" thickTop="1" thickBot="1" x14ac:dyDescent="0.35">
      <c r="B26" s="15">
        <v>90000</v>
      </c>
      <c r="C26" s="13">
        <v>0.1</v>
      </c>
      <c r="G26" s="91">
        <v>2000000</v>
      </c>
      <c r="H26" s="92">
        <v>0.02</v>
      </c>
    </row>
    <row r="27" spans="2:22" ht="21.6" thickBot="1" x14ac:dyDescent="0.35">
      <c r="B27" s="15">
        <v>150000</v>
      </c>
      <c r="C27" s="13">
        <v>0.12</v>
      </c>
      <c r="G27" s="93">
        <v>3000000</v>
      </c>
      <c r="H27" s="94">
        <v>0.03</v>
      </c>
    </row>
    <row r="28" spans="2:22" ht="21.6" thickBot="1" x14ac:dyDescent="0.35">
      <c r="B28" s="15">
        <v>210000</v>
      </c>
      <c r="C28" s="13">
        <v>0.14000000000000001</v>
      </c>
      <c r="G28" s="95">
        <v>4000000</v>
      </c>
      <c r="H28" s="96">
        <v>0.04</v>
      </c>
    </row>
    <row r="29" spans="2:22" ht="21.6" thickBot="1" x14ac:dyDescent="0.35">
      <c r="B29" s="15">
        <v>270000</v>
      </c>
      <c r="C29" s="13">
        <v>0.16</v>
      </c>
      <c r="G29" s="93">
        <v>5000000</v>
      </c>
      <c r="H29" s="94">
        <v>0.05</v>
      </c>
    </row>
    <row r="30" spans="2:22" ht="21.6" thickBot="1" x14ac:dyDescent="0.35">
      <c r="B30" s="15">
        <v>360000</v>
      </c>
      <c r="C30" s="13">
        <v>0.18</v>
      </c>
      <c r="G30" s="95">
        <v>10000000</v>
      </c>
      <c r="H30" s="96">
        <v>7.0000000000000007E-2</v>
      </c>
    </row>
  </sheetData>
  <sortState xmlns:xlrd2="http://schemas.microsoft.com/office/spreadsheetml/2017/richdata2" ref="G25:H29">
    <sortCondition ref="G25:G29"/>
  </sortState>
  <mergeCells count="6">
    <mergeCell ref="B1:E1"/>
    <mergeCell ref="C13:E13"/>
    <mergeCell ref="H15:K15"/>
    <mergeCell ref="M15:N15"/>
    <mergeCell ref="J16:J17"/>
    <mergeCell ref="K16:K1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Advisor</vt:lpstr>
      <vt:lpstr>Unit Manager</vt:lpstr>
      <vt:lpstr>Advisor-Leader</vt:lpstr>
      <vt:lpstr>Personal Earnings CALC</vt:lpstr>
      <vt:lpstr>REF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Pamintuan, Lynvel-D</dc:creator>
  <cp:lastModifiedBy>Ong, Karen Gayle-K</cp:lastModifiedBy>
  <dcterms:created xsi:type="dcterms:W3CDTF">2019-05-08T02:41:19Z</dcterms:created>
  <dcterms:modified xsi:type="dcterms:W3CDTF">2020-09-15T02:50:12Z</dcterms:modified>
</cp:coreProperties>
</file>